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Facturat" sheetId="1" r:id="rId1"/>
    <sheet name="contract si plati  2024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<sst xmlns="http://schemas.openxmlformats.org/spreadsheetml/2006/main" count="195" uniqueCount="65">
  <si>
    <t>LUNA</t>
  </si>
  <si>
    <t>TOTAL</t>
  </si>
  <si>
    <t>Buget necontractat</t>
  </si>
  <si>
    <t>S.C.ANCA MED SRL</t>
  </si>
  <si>
    <t>S.C.RECUPANA CLINIC SRL</t>
  </si>
  <si>
    <t>S.C.VALIBALMECU SRL</t>
  </si>
  <si>
    <t>S.C.CENTRUL DE SĂNĂTATE VITAL SRL</t>
  </si>
  <si>
    <t>CONTRACT</t>
  </si>
  <si>
    <t>PLĂTIT</t>
  </si>
  <si>
    <t>ECONOMII</t>
  </si>
  <si>
    <t>DATA PLĂȚII</t>
  </si>
  <si>
    <t>Diferență</t>
  </si>
  <si>
    <t>FACTURAT</t>
  </si>
  <si>
    <t>REFUZ</t>
  </si>
  <si>
    <t>iulie</t>
  </si>
  <si>
    <t>iunie</t>
  </si>
  <si>
    <t>august</t>
  </si>
  <si>
    <t>decembrie</t>
  </si>
  <si>
    <t xml:space="preserve">ianuarie </t>
  </si>
  <si>
    <t>februarie</t>
  </si>
  <si>
    <t>martie</t>
  </si>
  <si>
    <t>TRIM I 2023</t>
  </si>
  <si>
    <t>aprilie</t>
  </si>
  <si>
    <t>mai</t>
  </si>
  <si>
    <t>TRIM II 2023</t>
  </si>
  <si>
    <t>septembrie</t>
  </si>
  <si>
    <t>TRIM III 2023</t>
  </si>
  <si>
    <t>octombrie</t>
  </si>
  <si>
    <t>noiembrie</t>
  </si>
  <si>
    <t>TRIM IV 2023</t>
  </si>
  <si>
    <t>TOT AN 2023</t>
  </si>
  <si>
    <t>ianuarie</t>
  </si>
  <si>
    <t>Buget 2023</t>
  </si>
  <si>
    <t>feb</t>
  </si>
  <si>
    <t>Total 2022</t>
  </si>
  <si>
    <t>ian</t>
  </si>
  <si>
    <t>ALPHA MEDICAL INVEST SRL</t>
  </si>
  <si>
    <t>rest martie</t>
  </si>
  <si>
    <t>total martie</t>
  </si>
  <si>
    <t>rest mai</t>
  </si>
  <si>
    <t xml:space="preserve"> total mai</t>
  </si>
  <si>
    <t>SJU POMPEI SAMARIAN CALARASI</t>
  </si>
  <si>
    <t>oct</t>
  </si>
  <si>
    <t>sep</t>
  </si>
  <si>
    <t>dec</t>
  </si>
  <si>
    <t>mar</t>
  </si>
  <si>
    <t>apr</t>
  </si>
  <si>
    <t>iun</t>
  </si>
  <si>
    <t>iul</t>
  </si>
  <si>
    <t>noi</t>
  </si>
  <si>
    <t>aug</t>
  </si>
  <si>
    <t>15.12.2023 - ec noiembrie 2023</t>
  </si>
  <si>
    <t>decontat -232.219,60</t>
  </si>
  <si>
    <t>TRIM I 2024</t>
  </si>
  <si>
    <t>TRIM II 2024</t>
  </si>
  <si>
    <t>TRIM III 2024</t>
  </si>
  <si>
    <t>TRIM IV 2024</t>
  </si>
  <si>
    <t>TOT AN 2024</t>
  </si>
  <si>
    <t xml:space="preserve">  29.12.2023 repartizare valori luna ianuarie 2024</t>
  </si>
  <si>
    <t>ANCA MED SRL</t>
  </si>
  <si>
    <t>CENTRUL DE SĂNĂTATE VITAL SRL</t>
  </si>
  <si>
    <t>RECUPANA CLINIC SRL</t>
  </si>
  <si>
    <t>VALIBALMECU SRL</t>
  </si>
  <si>
    <t>.BROTAC MEDICAL CENTER SRL</t>
  </si>
  <si>
    <t xml:space="preserve">  05.01.2024 diminuare valoare luna ianuarie 2024 - Vali Balmecu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</si>
</sst>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[Red]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/yyyy"/>
  </numFmts>
  <fonts count="5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4"/>
      <name val="Calibri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4" fontId="4" fillId="33" borderId="10" xfId="0" applyNumberFormat="1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34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17" fontId="1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/>
    </xf>
    <xf numFmtId="17" fontId="2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0" fontId="5" fillId="34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74" fontId="0" fillId="34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4" fontId="5" fillId="35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4" fontId="5" fillId="35" borderId="10" xfId="0" applyNumberFormat="1" applyFont="1" applyFill="1" applyBorder="1" applyAlignment="1">
      <alignment horizontal="center"/>
    </xf>
    <xf numFmtId="17" fontId="5" fillId="0" borderId="0" xfId="0" applyNumberFormat="1" applyFont="1" applyAlignment="1">
      <alignment horizontal="right" vertical="center"/>
    </xf>
    <xf numFmtId="17" fontId="5" fillId="0" borderId="0" xfId="0" applyNumberFormat="1" applyFont="1" applyAlignment="1">
      <alignment horizontal="right" vertical="center"/>
    </xf>
    <xf numFmtId="0" fontId="0" fillId="0" borderId="0" xfId="0" applyBorder="1" applyAlignment="1">
      <alignment/>
    </xf>
    <xf numFmtId="4" fontId="8" fillId="0" borderId="0" xfId="0" applyNumberFormat="1" applyFont="1" applyBorder="1" applyAlignment="1">
      <alignment horizontal="center" vertical="top" wrapText="1"/>
    </xf>
    <xf numFmtId="14" fontId="5" fillId="34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174" fontId="0" fillId="35" borderId="10" xfId="0" applyNumberFormat="1" applyFont="1" applyFill="1" applyBorder="1" applyAlignment="1">
      <alignment horizontal="center"/>
    </xf>
    <xf numFmtId="4" fontId="0" fillId="35" borderId="10" xfId="0" applyNumberFormat="1" applyFont="1" applyFill="1" applyBorder="1" applyAlignment="1">
      <alignment horizontal="center"/>
    </xf>
    <xf numFmtId="4" fontId="6" fillId="35" borderId="10" xfId="0" applyNumberFormat="1" applyFont="1" applyFill="1" applyBorder="1" applyAlignment="1">
      <alignment horizontal="center" wrapText="1"/>
    </xf>
    <xf numFmtId="4" fontId="9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horizontal="right"/>
    </xf>
    <xf numFmtId="0" fontId="5" fillId="0" borderId="0" xfId="0" applyFont="1" applyAlignment="1">
      <alignment horizontal="right" vertical="center"/>
    </xf>
    <xf numFmtId="4" fontId="49" fillId="34" borderId="10" xfId="0" applyNumberFormat="1" applyFont="1" applyFill="1" applyBorder="1" applyAlignment="1">
      <alignment horizontal="center"/>
    </xf>
    <xf numFmtId="14" fontId="5" fillId="0" borderId="0" xfId="0" applyNumberFormat="1" applyFont="1" applyFill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5" fillId="0" borderId="10" xfId="0" applyNumberFormat="1" applyFont="1" applyBorder="1" applyAlignment="1">
      <alignment/>
    </xf>
    <xf numFmtId="17" fontId="1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/>
    </xf>
    <xf numFmtId="4" fontId="5" fillId="35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0" fillId="0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 vertical="center"/>
    </xf>
    <xf numFmtId="0" fontId="1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Alignment="1">
      <alignment horizontal="center" vertical="center"/>
    </xf>
    <xf numFmtId="4" fontId="0" fillId="0" borderId="11" xfId="0" applyNumberFormat="1" applyBorder="1" applyAlignment="1">
      <alignment horizontal="right"/>
    </xf>
    <xf numFmtId="14" fontId="0" fillId="36" borderId="0" xfId="0" applyNumberFormat="1" applyFill="1" applyAlignment="1">
      <alignment/>
    </xf>
    <xf numFmtId="14" fontId="5" fillId="0" borderId="0" xfId="0" applyNumberFormat="1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7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2" width="10.7109375" style="0" customWidth="1"/>
    <col min="4" max="4" width="11.00390625" style="0" customWidth="1"/>
    <col min="6" max="6" width="10.8515625" style="0" customWidth="1"/>
    <col min="8" max="8" width="10.7109375" style="0" customWidth="1"/>
    <col min="9" max="13" width="12.28125" style="0" customWidth="1"/>
    <col min="14" max="14" width="17.00390625" style="0" customWidth="1"/>
    <col min="15" max="15" width="12.57421875" style="0" customWidth="1"/>
    <col min="16" max="16" width="11.140625" style="0" customWidth="1"/>
    <col min="17" max="17" width="10.140625" style="0" bestFit="1" customWidth="1"/>
  </cols>
  <sheetData>
    <row r="2" ht="12.75">
      <c r="A2" s="1"/>
    </row>
    <row r="3" ht="12.75">
      <c r="A3" s="1"/>
    </row>
    <row r="4" spans="1:16" ht="53.25" customHeight="1">
      <c r="A4" s="42" t="s">
        <v>0</v>
      </c>
      <c r="B4" s="87" t="s">
        <v>3</v>
      </c>
      <c r="C4" s="87"/>
      <c r="D4" s="85" t="s">
        <v>6</v>
      </c>
      <c r="E4" s="86"/>
      <c r="F4" s="85" t="s">
        <v>4</v>
      </c>
      <c r="G4" s="86"/>
      <c r="H4" s="87" t="s">
        <v>5</v>
      </c>
      <c r="I4" s="88"/>
      <c r="J4" s="85" t="s">
        <v>36</v>
      </c>
      <c r="K4" s="92"/>
      <c r="L4" s="93" t="s">
        <v>41</v>
      </c>
      <c r="M4" s="94"/>
      <c r="N4" s="89" t="s">
        <v>1</v>
      </c>
      <c r="O4" s="90"/>
      <c r="P4" s="91"/>
    </row>
    <row r="5" spans="1:16" ht="12.75">
      <c r="A5" s="33"/>
      <c r="B5" s="39" t="s">
        <v>12</v>
      </c>
      <c r="C5" s="39" t="s">
        <v>13</v>
      </c>
      <c r="D5" s="39" t="s">
        <v>12</v>
      </c>
      <c r="E5" s="39" t="s">
        <v>13</v>
      </c>
      <c r="F5" s="39" t="s">
        <v>12</v>
      </c>
      <c r="G5" s="39" t="s">
        <v>13</v>
      </c>
      <c r="H5" s="39" t="s">
        <v>12</v>
      </c>
      <c r="I5" s="39" t="s">
        <v>13</v>
      </c>
      <c r="J5" s="39" t="s">
        <v>12</v>
      </c>
      <c r="K5" s="39" t="s">
        <v>13</v>
      </c>
      <c r="L5" s="39" t="s">
        <v>12</v>
      </c>
      <c r="M5" s="39" t="s">
        <v>13</v>
      </c>
      <c r="N5" s="39" t="s">
        <v>12</v>
      </c>
      <c r="O5" s="39" t="s">
        <v>13</v>
      </c>
      <c r="P5" s="40" t="s">
        <v>11</v>
      </c>
    </row>
    <row r="6" spans="1:16" ht="12.75">
      <c r="A6" s="24" t="s">
        <v>31</v>
      </c>
      <c r="B6" s="23"/>
      <c r="C6" s="25"/>
      <c r="D6" s="9"/>
      <c r="E6" s="25"/>
      <c r="F6" s="25"/>
      <c r="G6" s="25"/>
      <c r="H6" s="25"/>
      <c r="I6" s="25"/>
      <c r="J6" s="25"/>
      <c r="K6" s="25"/>
      <c r="L6" s="25"/>
      <c r="M6" s="25"/>
      <c r="N6" s="26">
        <f aca="true" t="shared" si="0" ref="N6:N22">B6+D6+F6+H6+J6+L6</f>
        <v>0</v>
      </c>
      <c r="O6" s="5">
        <f aca="true" t="shared" si="1" ref="O6:O22">C6+E6+G6+I6+K6+M6</f>
        <v>0</v>
      </c>
      <c r="P6" s="27">
        <f>N6-O6</f>
        <v>0</v>
      </c>
    </row>
    <row r="7" spans="1:16" ht="12.75">
      <c r="A7" s="24" t="s">
        <v>19</v>
      </c>
      <c r="B7" s="9"/>
      <c r="C7" s="23"/>
      <c r="D7" s="9"/>
      <c r="E7" s="23"/>
      <c r="F7" s="28"/>
      <c r="G7" s="23"/>
      <c r="H7" s="25"/>
      <c r="I7" s="23"/>
      <c r="J7" s="23"/>
      <c r="K7" s="23"/>
      <c r="L7" s="23"/>
      <c r="M7" s="23"/>
      <c r="N7" s="26">
        <f t="shared" si="0"/>
        <v>0</v>
      </c>
      <c r="O7" s="5">
        <f t="shared" si="1"/>
        <v>0</v>
      </c>
      <c r="P7" s="27">
        <f aca="true" t="shared" si="2" ref="P7:P22">N7-O7</f>
        <v>0</v>
      </c>
    </row>
    <row r="8" spans="1:16" ht="12.75">
      <c r="A8" s="24" t="s">
        <v>20</v>
      </c>
      <c r="B8" s="10"/>
      <c r="C8" s="23"/>
      <c r="D8" s="10"/>
      <c r="E8" s="23"/>
      <c r="F8" s="25"/>
      <c r="G8" s="23"/>
      <c r="H8" s="10"/>
      <c r="I8" s="23"/>
      <c r="J8" s="23"/>
      <c r="K8" s="23"/>
      <c r="L8" s="23"/>
      <c r="M8" s="23"/>
      <c r="N8" s="26">
        <f t="shared" si="0"/>
        <v>0</v>
      </c>
      <c r="O8" s="5">
        <f t="shared" si="1"/>
        <v>0</v>
      </c>
      <c r="P8" s="27">
        <f t="shared" si="2"/>
        <v>0</v>
      </c>
    </row>
    <row r="9" spans="1:16" ht="12.75">
      <c r="A9" s="29" t="s">
        <v>53</v>
      </c>
      <c r="B9" s="30">
        <f>B6+B7+B8</f>
        <v>0</v>
      </c>
      <c r="C9" s="30">
        <f aca="true" t="shared" si="3" ref="C9:K9">C6+C7+C8</f>
        <v>0</v>
      </c>
      <c r="D9" s="30">
        <f t="shared" si="3"/>
        <v>0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>L6+L7+L8</f>
        <v>0</v>
      </c>
      <c r="M9" s="30">
        <f>M6+M7+M8</f>
        <v>0</v>
      </c>
      <c r="N9" s="4">
        <f t="shared" si="0"/>
        <v>0</v>
      </c>
      <c r="O9" s="4">
        <f t="shared" si="1"/>
        <v>0</v>
      </c>
      <c r="P9" s="4">
        <f>N9-O9</f>
        <v>0</v>
      </c>
    </row>
    <row r="10" spans="1:16" ht="12.75">
      <c r="A10" s="24" t="s">
        <v>22</v>
      </c>
      <c r="B10" s="25"/>
      <c r="C10" s="25"/>
      <c r="D10" s="9"/>
      <c r="E10" s="25"/>
      <c r="F10" s="25"/>
      <c r="G10" s="25"/>
      <c r="H10" s="25"/>
      <c r="I10" s="25"/>
      <c r="J10" s="25"/>
      <c r="K10" s="25"/>
      <c r="L10" s="25"/>
      <c r="M10" s="25"/>
      <c r="N10" s="26">
        <f t="shared" si="0"/>
        <v>0</v>
      </c>
      <c r="O10" s="5">
        <f t="shared" si="1"/>
        <v>0</v>
      </c>
      <c r="P10" s="27">
        <f t="shared" si="2"/>
        <v>0</v>
      </c>
    </row>
    <row r="11" spans="1:16" ht="12.75">
      <c r="A11" s="24" t="s">
        <v>23</v>
      </c>
      <c r="B11" s="31"/>
      <c r="C11" s="23"/>
      <c r="D11" s="31"/>
      <c r="E11" s="23"/>
      <c r="F11" s="31"/>
      <c r="G11" s="23"/>
      <c r="H11" s="31"/>
      <c r="I11" s="23"/>
      <c r="J11" s="23"/>
      <c r="K11" s="23"/>
      <c r="L11" s="23"/>
      <c r="M11" s="23"/>
      <c r="N11" s="26">
        <f t="shared" si="0"/>
        <v>0</v>
      </c>
      <c r="O11" s="5">
        <f t="shared" si="1"/>
        <v>0</v>
      </c>
      <c r="P11" s="27">
        <f>N11-O11</f>
        <v>0</v>
      </c>
    </row>
    <row r="12" spans="1:17" ht="12.75">
      <c r="A12" s="24" t="s">
        <v>15</v>
      </c>
      <c r="B12" s="31"/>
      <c r="C12" s="23"/>
      <c r="D12" s="31"/>
      <c r="E12" s="23"/>
      <c r="F12" s="10"/>
      <c r="G12" s="23"/>
      <c r="H12" s="31"/>
      <c r="I12" s="23"/>
      <c r="J12" s="23"/>
      <c r="K12" s="23"/>
      <c r="L12" s="23"/>
      <c r="M12" s="23"/>
      <c r="N12" s="26">
        <f t="shared" si="0"/>
        <v>0</v>
      </c>
      <c r="O12" s="5">
        <f t="shared" si="1"/>
        <v>0</v>
      </c>
      <c r="P12" s="27">
        <f t="shared" si="2"/>
        <v>0</v>
      </c>
      <c r="Q12" s="83"/>
    </row>
    <row r="13" spans="1:16" ht="12.75">
      <c r="A13" s="29" t="s">
        <v>54</v>
      </c>
      <c r="B13" s="30">
        <f>B10+B11+B12</f>
        <v>0</v>
      </c>
      <c r="C13" s="30">
        <f aca="true" t="shared" si="4" ref="C13:M13">C10+C11+C12</f>
        <v>0</v>
      </c>
      <c r="D13" s="30">
        <f t="shared" si="4"/>
        <v>0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">
        <f t="shared" si="0"/>
        <v>0</v>
      </c>
      <c r="O13" s="4">
        <f t="shared" si="1"/>
        <v>0</v>
      </c>
      <c r="P13" s="4">
        <f t="shared" si="2"/>
        <v>0</v>
      </c>
    </row>
    <row r="14" spans="1:17" ht="13.5" customHeight="1">
      <c r="A14" s="24" t="s">
        <v>14</v>
      </c>
      <c r="B14" s="31"/>
      <c r="C14" s="23"/>
      <c r="D14" s="31"/>
      <c r="E14" s="23"/>
      <c r="F14" s="31"/>
      <c r="G14" s="23"/>
      <c r="H14" s="31"/>
      <c r="I14" s="23"/>
      <c r="J14" s="23"/>
      <c r="K14" s="23"/>
      <c r="L14" s="23"/>
      <c r="M14" s="23"/>
      <c r="N14" s="26">
        <f t="shared" si="0"/>
        <v>0</v>
      </c>
      <c r="O14" s="5">
        <f t="shared" si="1"/>
        <v>0</v>
      </c>
      <c r="P14" s="27">
        <f t="shared" si="2"/>
        <v>0</v>
      </c>
      <c r="Q14" s="1"/>
    </row>
    <row r="15" spans="1:17" ht="12.75">
      <c r="A15" s="24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26">
        <f t="shared" si="0"/>
        <v>0</v>
      </c>
      <c r="O15" s="5">
        <f t="shared" si="1"/>
        <v>0</v>
      </c>
      <c r="P15" s="27">
        <f t="shared" si="2"/>
        <v>0</v>
      </c>
      <c r="Q15" s="1"/>
    </row>
    <row r="16" spans="1:17" ht="12.75">
      <c r="A16" s="24" t="s">
        <v>25</v>
      </c>
      <c r="B16" s="9"/>
      <c r="C16" s="10"/>
      <c r="D16" s="10"/>
      <c r="E16" s="10"/>
      <c r="F16" s="9"/>
      <c r="G16" s="10"/>
      <c r="H16" s="9"/>
      <c r="I16" s="10"/>
      <c r="J16" s="10"/>
      <c r="K16" s="10"/>
      <c r="L16" s="10"/>
      <c r="M16" s="10"/>
      <c r="N16" s="26">
        <f t="shared" si="0"/>
        <v>0</v>
      </c>
      <c r="O16" s="5">
        <f t="shared" si="1"/>
        <v>0</v>
      </c>
      <c r="P16" s="27">
        <f t="shared" si="2"/>
        <v>0</v>
      </c>
      <c r="Q16" s="1"/>
    </row>
    <row r="17" spans="1:16" ht="12.75">
      <c r="A17" s="29" t="s">
        <v>55</v>
      </c>
      <c r="B17" s="30">
        <f>B14+B15+B16</f>
        <v>0</v>
      </c>
      <c r="C17" s="30">
        <f aca="true" t="shared" si="5" ref="C17:M17">C14+C15+C16</f>
        <v>0</v>
      </c>
      <c r="D17" s="30">
        <f t="shared" si="5"/>
        <v>0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0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4">
        <f t="shared" si="0"/>
        <v>0</v>
      </c>
      <c r="O17" s="4">
        <f t="shared" si="1"/>
        <v>0</v>
      </c>
      <c r="P17" s="4">
        <f t="shared" si="2"/>
        <v>0</v>
      </c>
    </row>
    <row r="18" spans="1:17" ht="12.75">
      <c r="A18" s="24" t="s">
        <v>27</v>
      </c>
      <c r="B18" s="10"/>
      <c r="C18" s="23"/>
      <c r="D18" s="58"/>
      <c r="E18" s="23"/>
      <c r="F18" s="10"/>
      <c r="G18" s="23"/>
      <c r="H18" s="10"/>
      <c r="I18" s="23"/>
      <c r="J18" s="23"/>
      <c r="K18" s="23"/>
      <c r="L18" s="2"/>
      <c r="M18" s="23"/>
      <c r="N18" s="26">
        <f t="shared" si="0"/>
        <v>0</v>
      </c>
      <c r="O18" s="5">
        <f t="shared" si="1"/>
        <v>0</v>
      </c>
      <c r="P18" s="27">
        <f t="shared" si="2"/>
        <v>0</v>
      </c>
      <c r="Q18" s="1"/>
    </row>
    <row r="19" spans="1:17" ht="12.75">
      <c r="A19" s="24" t="s">
        <v>28</v>
      </c>
      <c r="B19" s="23"/>
      <c r="C19" s="23"/>
      <c r="D19" s="10"/>
      <c r="E19" s="23"/>
      <c r="F19" s="23"/>
      <c r="G19" s="23"/>
      <c r="H19" s="23"/>
      <c r="I19" s="23"/>
      <c r="J19" s="23"/>
      <c r="K19" s="23"/>
      <c r="L19" s="23"/>
      <c r="M19" s="23"/>
      <c r="N19" s="26">
        <f t="shared" si="0"/>
        <v>0</v>
      </c>
      <c r="O19" s="5">
        <f t="shared" si="1"/>
        <v>0</v>
      </c>
      <c r="P19" s="27">
        <f t="shared" si="2"/>
        <v>0</v>
      </c>
      <c r="Q19" s="1"/>
    </row>
    <row r="20" spans="1:16" ht="12.75">
      <c r="A20" s="24" t="s">
        <v>17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6">
        <f t="shared" si="0"/>
        <v>0</v>
      </c>
      <c r="O20" s="5">
        <f t="shared" si="1"/>
        <v>0</v>
      </c>
      <c r="P20" s="27">
        <f t="shared" si="2"/>
        <v>0</v>
      </c>
    </row>
    <row r="21" spans="1:16" ht="12.75">
      <c r="A21" s="29" t="s">
        <v>56</v>
      </c>
      <c r="B21" s="30">
        <f>B18+B19+B20</f>
        <v>0</v>
      </c>
      <c r="C21" s="30">
        <f aca="true" t="shared" si="6" ref="C21:M21">C18+C19+C20</f>
        <v>0</v>
      </c>
      <c r="D21" s="30">
        <f t="shared" si="6"/>
        <v>0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0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4">
        <f t="shared" si="0"/>
        <v>0</v>
      </c>
      <c r="O21" s="4">
        <f t="shared" si="1"/>
        <v>0</v>
      </c>
      <c r="P21" s="4">
        <f t="shared" si="2"/>
        <v>0</v>
      </c>
    </row>
    <row r="22" spans="1:16" ht="12.75">
      <c r="A22" s="29" t="s">
        <v>57</v>
      </c>
      <c r="B22" s="30">
        <f>B9+B13+B17+B21</f>
        <v>0</v>
      </c>
      <c r="C22" s="30">
        <f aca="true" t="shared" si="7" ref="C22:M22">C9+C13+C17+C21</f>
        <v>0</v>
      </c>
      <c r="D22" s="30">
        <f t="shared" si="7"/>
        <v>0</v>
      </c>
      <c r="E22" s="30">
        <f t="shared" si="7"/>
        <v>0</v>
      </c>
      <c r="F22" s="30">
        <f t="shared" si="7"/>
        <v>0</v>
      </c>
      <c r="G22" s="30">
        <f t="shared" si="7"/>
        <v>0</v>
      </c>
      <c r="H22" s="30">
        <f t="shared" si="7"/>
        <v>0</v>
      </c>
      <c r="I22" s="30">
        <f t="shared" si="7"/>
        <v>0</v>
      </c>
      <c r="J22" s="30">
        <f t="shared" si="7"/>
        <v>0</v>
      </c>
      <c r="K22" s="30">
        <f t="shared" si="7"/>
        <v>0</v>
      </c>
      <c r="L22" s="30">
        <f t="shared" si="7"/>
        <v>0</v>
      </c>
      <c r="M22" s="30">
        <f t="shared" si="7"/>
        <v>0</v>
      </c>
      <c r="N22" s="4">
        <f t="shared" si="0"/>
        <v>0</v>
      </c>
      <c r="O22" s="4">
        <f t="shared" si="1"/>
        <v>0</v>
      </c>
      <c r="P22" s="4">
        <f t="shared" si="2"/>
        <v>0</v>
      </c>
    </row>
    <row r="23" ht="12.75">
      <c r="N23" s="2"/>
    </row>
    <row r="24" ht="12.75">
      <c r="N24" s="2"/>
    </row>
    <row r="25" ht="12.75">
      <c r="N25" s="2"/>
    </row>
    <row r="27" ht="12.75">
      <c r="A27" s="3"/>
    </row>
  </sheetData>
  <sheetProtection/>
  <mergeCells count="7">
    <mergeCell ref="F4:G4"/>
    <mergeCell ref="H4:I4"/>
    <mergeCell ref="N4:P4"/>
    <mergeCell ref="B4:C4"/>
    <mergeCell ref="D4:E4"/>
    <mergeCell ref="J4:K4"/>
    <mergeCell ref="L4:M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="98" zoomScaleNormal="98" zoomScalePageLayoutView="0" workbookViewId="0" topLeftCell="A55">
      <selection activeCell="A74" sqref="A74:P100"/>
    </sheetView>
  </sheetViews>
  <sheetFormatPr defaultColWidth="9.140625" defaultRowHeight="12.75"/>
  <cols>
    <col min="1" max="1" width="13.421875" style="0" customWidth="1"/>
    <col min="2" max="2" width="12.7109375" style="0" customWidth="1"/>
    <col min="3" max="3" width="10.140625" style="0" customWidth="1"/>
    <col min="4" max="4" width="12.00390625" style="0" customWidth="1"/>
    <col min="5" max="5" width="10.421875" style="0" customWidth="1"/>
    <col min="6" max="6" width="12.140625" style="0" customWidth="1"/>
    <col min="7" max="7" width="11.28125" style="0" customWidth="1"/>
    <col min="8" max="8" width="12.00390625" style="0" customWidth="1"/>
    <col min="9" max="9" width="11.57421875" style="0" customWidth="1"/>
    <col min="10" max="10" width="15.28125" style="0" customWidth="1"/>
    <col min="11" max="11" width="11.7109375" style="0" customWidth="1"/>
    <col min="12" max="12" width="12.421875" style="0" customWidth="1"/>
    <col min="13" max="13" width="10.421875" style="0" customWidth="1"/>
    <col min="14" max="14" width="13.00390625" style="0" customWidth="1"/>
    <col min="15" max="15" width="10.421875" style="0" customWidth="1"/>
    <col min="16" max="16" width="12.140625" style="0" customWidth="1"/>
    <col min="17" max="17" width="12.00390625" style="0" customWidth="1"/>
    <col min="18" max="18" width="12.57421875" style="0" customWidth="1"/>
    <col min="19" max="19" width="12.28125" style="0" customWidth="1"/>
    <col min="21" max="21" width="10.28125" style="0" bestFit="1" customWidth="1"/>
    <col min="22" max="22" width="18.00390625" style="0" customWidth="1"/>
  </cols>
  <sheetData>
    <row r="1" ht="12.75">
      <c r="A1" s="59" t="s">
        <v>51</v>
      </c>
    </row>
    <row r="2" ht="12.75">
      <c r="A2" s="1"/>
    </row>
    <row r="3" spans="1:19" ht="30.75" customHeight="1">
      <c r="A3" s="42" t="s">
        <v>0</v>
      </c>
      <c r="B3" s="87" t="s">
        <v>59</v>
      </c>
      <c r="C3" s="87"/>
      <c r="D3" s="85" t="s">
        <v>36</v>
      </c>
      <c r="E3" s="92"/>
      <c r="F3" s="85" t="s">
        <v>63</v>
      </c>
      <c r="G3" s="86"/>
      <c r="H3" s="85" t="s">
        <v>60</v>
      </c>
      <c r="I3" s="86"/>
      <c r="J3" s="85" t="s">
        <v>61</v>
      </c>
      <c r="K3" s="86"/>
      <c r="L3" s="87" t="s">
        <v>62</v>
      </c>
      <c r="M3" s="88"/>
      <c r="N3" s="93" t="s">
        <v>41</v>
      </c>
      <c r="O3" s="94"/>
      <c r="P3" s="85" t="s">
        <v>1</v>
      </c>
      <c r="Q3" s="95"/>
      <c r="R3" s="92"/>
      <c r="S3" s="17"/>
    </row>
    <row r="4" spans="1:19" ht="12.75">
      <c r="A4" s="18"/>
      <c r="B4" s="32" t="s">
        <v>7</v>
      </c>
      <c r="C4" s="32" t="s">
        <v>8</v>
      </c>
      <c r="D4" s="32" t="s">
        <v>7</v>
      </c>
      <c r="E4" s="32" t="s">
        <v>8</v>
      </c>
      <c r="F4" s="32" t="s">
        <v>7</v>
      </c>
      <c r="G4" s="32" t="s">
        <v>8</v>
      </c>
      <c r="H4" s="32" t="s">
        <v>7</v>
      </c>
      <c r="I4" s="32" t="s">
        <v>8</v>
      </c>
      <c r="J4" s="32" t="s">
        <v>7</v>
      </c>
      <c r="K4" s="32" t="s">
        <v>8</v>
      </c>
      <c r="L4" s="32" t="s">
        <v>7</v>
      </c>
      <c r="M4" s="32" t="s">
        <v>8</v>
      </c>
      <c r="N4" s="32" t="s">
        <v>7</v>
      </c>
      <c r="O4" s="32" t="s">
        <v>8</v>
      </c>
      <c r="P4" s="32" t="s">
        <v>7</v>
      </c>
      <c r="Q4" s="32" t="s">
        <v>8</v>
      </c>
      <c r="R4" s="34" t="s">
        <v>9</v>
      </c>
      <c r="S4" s="35" t="s">
        <v>10</v>
      </c>
    </row>
    <row r="5" spans="1:19" ht="12.75">
      <c r="A5" s="19">
        <v>44896</v>
      </c>
      <c r="B5" s="38">
        <f>7574+5488+1232</f>
        <v>14294</v>
      </c>
      <c r="C5" s="10">
        <v>13944</v>
      </c>
      <c r="D5" s="10"/>
      <c r="E5" s="10"/>
      <c r="F5" s="38">
        <f>16114+10668+2240+5138</f>
        <v>34160</v>
      </c>
      <c r="G5" s="10">
        <v>33726</v>
      </c>
      <c r="H5" s="38">
        <f>9296+6356+1498</f>
        <v>17150</v>
      </c>
      <c r="I5" s="10">
        <v>16726.5</v>
      </c>
      <c r="J5" s="38">
        <f>16660+10976+2758</f>
        <v>30394</v>
      </c>
      <c r="K5" s="10">
        <v>30156</v>
      </c>
      <c r="L5" s="9">
        <f>10654+7518+1750</f>
        <v>19922</v>
      </c>
      <c r="M5" s="10">
        <v>17556</v>
      </c>
      <c r="N5" s="10"/>
      <c r="O5" s="10"/>
      <c r="P5" s="32">
        <f aca="true" t="shared" si="0" ref="P5:Q8">B5+F5+H5+J5+L5</f>
        <v>115920</v>
      </c>
      <c r="Q5" s="32">
        <f t="shared" si="0"/>
        <v>112108.5</v>
      </c>
      <c r="R5" s="71">
        <f>P5-Q5</f>
        <v>3811.5</v>
      </c>
      <c r="S5" s="48">
        <v>44944</v>
      </c>
    </row>
    <row r="6" spans="1:19" ht="12.75">
      <c r="A6" s="49" t="s">
        <v>34</v>
      </c>
      <c r="B6" s="50">
        <f>7574+5488+1232</f>
        <v>14294</v>
      </c>
      <c r="C6" s="50">
        <f>7574+5488+1232</f>
        <v>14294</v>
      </c>
      <c r="D6" s="50"/>
      <c r="E6" s="50"/>
      <c r="F6" s="50">
        <f>16114+10668+2240+5138</f>
        <v>34160</v>
      </c>
      <c r="G6" s="51">
        <v>33726</v>
      </c>
      <c r="H6" s="50">
        <f>9296+6356+1498</f>
        <v>17150</v>
      </c>
      <c r="I6" s="51">
        <v>16726.5</v>
      </c>
      <c r="J6" s="50">
        <f>16660+10976+2758</f>
        <v>30394</v>
      </c>
      <c r="K6" s="51">
        <v>30156</v>
      </c>
      <c r="L6" s="51">
        <f>10654+7518+1750</f>
        <v>19922</v>
      </c>
      <c r="M6" s="51">
        <v>17556</v>
      </c>
      <c r="N6" s="51"/>
      <c r="O6" s="51"/>
      <c r="P6" s="52">
        <f t="shared" si="0"/>
        <v>115920</v>
      </c>
      <c r="Q6" s="52">
        <f t="shared" si="0"/>
        <v>112458.5</v>
      </c>
      <c r="R6" s="72">
        <f>P6-Q6</f>
        <v>3461.5</v>
      </c>
      <c r="S6" s="35"/>
    </row>
    <row r="7" spans="1:19" ht="12.75">
      <c r="A7" s="19" t="s">
        <v>18</v>
      </c>
      <c r="B7" s="10">
        <f>20832-1974</f>
        <v>18858</v>
      </c>
      <c r="C7" s="9">
        <v>18858</v>
      </c>
      <c r="D7" s="9"/>
      <c r="E7" s="9"/>
      <c r="F7" s="10">
        <f>37898-2338</f>
        <v>35560</v>
      </c>
      <c r="G7" s="9">
        <v>35553</v>
      </c>
      <c r="H7" s="10">
        <f>25578</f>
        <v>25578</v>
      </c>
      <c r="I7" s="9">
        <v>25557</v>
      </c>
      <c r="J7" s="10">
        <f>47068-4900</f>
        <v>42168</v>
      </c>
      <c r="K7" s="9">
        <v>42168</v>
      </c>
      <c r="L7" s="9">
        <f>29624-10346</f>
        <v>19278</v>
      </c>
      <c r="M7" s="10">
        <v>19278</v>
      </c>
      <c r="N7" s="10"/>
      <c r="O7" s="10"/>
      <c r="P7" s="11">
        <f t="shared" si="0"/>
        <v>141442</v>
      </c>
      <c r="Q7" s="7">
        <f t="shared" si="0"/>
        <v>141414</v>
      </c>
      <c r="R7" s="73">
        <f>P7-Q7</f>
        <v>28</v>
      </c>
      <c r="S7" s="20">
        <v>44972</v>
      </c>
    </row>
    <row r="8" spans="1:19" ht="12.75">
      <c r="A8" s="19" t="s">
        <v>19</v>
      </c>
      <c r="B8" s="10">
        <f>20832-6118+2478+266-574+1974-4536</f>
        <v>14322</v>
      </c>
      <c r="C8" s="10">
        <v>14322</v>
      </c>
      <c r="D8" s="10"/>
      <c r="E8" s="10"/>
      <c r="F8" s="10">
        <f>37898+1666+4494+490+168+2338-9674</f>
        <v>37380</v>
      </c>
      <c r="G8" s="10">
        <v>37380</v>
      </c>
      <c r="H8" s="10">
        <f>25578+1120+3038-1596+112-112</f>
        <v>28140</v>
      </c>
      <c r="I8" s="10">
        <v>28140</v>
      </c>
      <c r="J8" s="10">
        <f>47068+2058-13524+476+168+4900-28</f>
        <v>41118</v>
      </c>
      <c r="K8" s="10">
        <v>41118</v>
      </c>
      <c r="L8" s="9">
        <f>29624+1274+3514+364+126+10346-22946</f>
        <v>22302</v>
      </c>
      <c r="M8" s="10">
        <v>22302</v>
      </c>
      <c r="N8" s="10"/>
      <c r="O8" s="10"/>
      <c r="P8" s="11">
        <f t="shared" si="0"/>
        <v>143262</v>
      </c>
      <c r="Q8" s="7">
        <f t="shared" si="0"/>
        <v>143262</v>
      </c>
      <c r="R8" s="12">
        <f>P8-Q8</f>
        <v>0</v>
      </c>
      <c r="S8" s="21">
        <v>45001</v>
      </c>
    </row>
    <row r="9" spans="1:19" ht="12.75">
      <c r="A9" s="19" t="s">
        <v>20</v>
      </c>
      <c r="B9" s="10"/>
      <c r="C9" s="10">
        <v>22330.87</v>
      </c>
      <c r="D9" s="10"/>
      <c r="E9" s="10">
        <v>17921.48</v>
      </c>
      <c r="F9" s="10"/>
      <c r="G9" s="10">
        <v>42616.11</v>
      </c>
      <c r="H9" s="10"/>
      <c r="I9" s="10">
        <v>13453.96</v>
      </c>
      <c r="J9" s="10"/>
      <c r="K9" s="10">
        <v>31854.33</v>
      </c>
      <c r="L9" s="9"/>
      <c r="M9" s="10">
        <v>32565.85</v>
      </c>
      <c r="N9" s="10"/>
      <c r="O9" s="10"/>
      <c r="P9" s="11"/>
      <c r="Q9" s="7">
        <f>C9+M9+K9+I9+G9+E9</f>
        <v>160742.6</v>
      </c>
      <c r="R9" s="12"/>
      <c r="S9" s="20">
        <v>45027</v>
      </c>
    </row>
    <row r="10" spans="1:19" ht="12.75">
      <c r="A10" s="19" t="s">
        <v>37</v>
      </c>
      <c r="B10" s="10"/>
      <c r="C10" s="10">
        <v>517.13</v>
      </c>
      <c r="D10" s="10"/>
      <c r="E10" s="10">
        <v>415.02</v>
      </c>
      <c r="F10" s="10"/>
      <c r="G10" s="10">
        <v>986.89</v>
      </c>
      <c r="H10" s="10"/>
      <c r="I10" s="10">
        <v>311.54</v>
      </c>
      <c r="J10" s="10"/>
      <c r="K10" s="10">
        <v>737.67</v>
      </c>
      <c r="L10" s="9"/>
      <c r="M10" s="10">
        <v>754.15</v>
      </c>
      <c r="N10" s="10"/>
      <c r="O10" s="10"/>
      <c r="P10" s="11"/>
      <c r="Q10" s="7">
        <f>M10+K10+I10+G10+E10+C10</f>
        <v>3722.4</v>
      </c>
      <c r="R10" s="12"/>
      <c r="S10" s="21">
        <v>45057</v>
      </c>
    </row>
    <row r="11" spans="1:19" ht="12.75">
      <c r="A11" s="19" t="s">
        <v>38</v>
      </c>
      <c r="B11" s="9">
        <f>18340+4536-28</f>
        <v>22848</v>
      </c>
      <c r="C11" s="58">
        <f>C9+C10</f>
        <v>22848</v>
      </c>
      <c r="D11" s="10">
        <f>18368-28</f>
        <v>18340</v>
      </c>
      <c r="E11" s="58">
        <f>E9+E10</f>
        <v>18336.5</v>
      </c>
      <c r="F11" s="9">
        <f>33936+9674</f>
        <v>43610</v>
      </c>
      <c r="G11" s="58">
        <f>G9+G10</f>
        <v>43603</v>
      </c>
      <c r="H11" s="9">
        <f>13776+112-112</f>
        <v>13776</v>
      </c>
      <c r="I11" s="58">
        <f>I9+I10</f>
        <v>13765.5</v>
      </c>
      <c r="J11" s="9">
        <f>32592+28-28</f>
        <v>32592</v>
      </c>
      <c r="K11" s="58">
        <f>K9+K10</f>
        <v>32592</v>
      </c>
      <c r="L11" s="9">
        <f>25984+22946-15610</f>
        <v>33320</v>
      </c>
      <c r="M11" s="58">
        <f>M9+M10</f>
        <v>33320</v>
      </c>
      <c r="N11" s="58"/>
      <c r="O11" s="58"/>
      <c r="P11" s="11">
        <f aca="true" t="shared" si="1" ref="P11:Q13">B11+F11+H11+J11+L11+D11</f>
        <v>164486</v>
      </c>
      <c r="Q11" s="7">
        <f t="shared" si="1"/>
        <v>164465</v>
      </c>
      <c r="R11" s="12">
        <f>P11-Q11</f>
        <v>21</v>
      </c>
      <c r="S11" s="17"/>
    </row>
    <row r="12" spans="1:19" ht="12.75">
      <c r="A12" s="22" t="s">
        <v>21</v>
      </c>
      <c r="B12" s="6">
        <f>B7+B8+B11</f>
        <v>56028</v>
      </c>
      <c r="C12" s="6">
        <f>C7+C8+C11</f>
        <v>56028</v>
      </c>
      <c r="D12" s="6">
        <f>D7+D8+D11</f>
        <v>18340</v>
      </c>
      <c r="E12" s="6">
        <f>E7+E8+E11</f>
        <v>18336.5</v>
      </c>
      <c r="F12" s="6">
        <f aca="true" t="shared" si="2" ref="F12:L12">F7+F8+F11</f>
        <v>116550</v>
      </c>
      <c r="G12" s="6">
        <f t="shared" si="2"/>
        <v>116536</v>
      </c>
      <c r="H12" s="6">
        <f t="shared" si="2"/>
        <v>67494</v>
      </c>
      <c r="I12" s="6">
        <f t="shared" si="2"/>
        <v>67462.5</v>
      </c>
      <c r="J12" s="6">
        <f t="shared" si="2"/>
        <v>115878</v>
      </c>
      <c r="K12" s="6">
        <f t="shared" si="2"/>
        <v>115878</v>
      </c>
      <c r="L12" s="6">
        <f t="shared" si="2"/>
        <v>74900</v>
      </c>
      <c r="M12" s="6">
        <f>M7+M8+M11</f>
        <v>74900</v>
      </c>
      <c r="N12" s="6">
        <f>N7+N8+N11</f>
        <v>0</v>
      </c>
      <c r="O12" s="6">
        <f>O7+O8+O11</f>
        <v>0</v>
      </c>
      <c r="P12" s="43">
        <f t="shared" si="1"/>
        <v>449190</v>
      </c>
      <c r="Q12" s="43">
        <f t="shared" si="1"/>
        <v>449141</v>
      </c>
      <c r="R12" s="41">
        <f>P12-Q12</f>
        <v>49</v>
      </c>
      <c r="S12" s="16"/>
    </row>
    <row r="13" spans="1:19" ht="12.75">
      <c r="A13" s="19" t="s">
        <v>22</v>
      </c>
      <c r="B13" s="9">
        <f>20860+28+2576-10066</f>
        <v>13398</v>
      </c>
      <c r="C13" s="9">
        <v>13398</v>
      </c>
      <c r="D13" s="9">
        <f>21336+28+2534-1414</f>
        <v>22484</v>
      </c>
      <c r="E13" s="9">
        <v>22473.5</v>
      </c>
      <c r="F13" s="9">
        <f>40180+28+5362-17682</f>
        <v>27888</v>
      </c>
      <c r="G13" s="9">
        <v>27888</v>
      </c>
      <c r="H13" s="9">
        <f>16338-140-280</f>
        <v>15918</v>
      </c>
      <c r="I13" s="9">
        <v>15918</v>
      </c>
      <c r="J13" s="9">
        <f>37786+28+5334-5936</f>
        <v>37212</v>
      </c>
      <c r="K13" s="9">
        <v>37212</v>
      </c>
      <c r="L13" s="9">
        <f>30520+28-13202</f>
        <v>17346</v>
      </c>
      <c r="M13" s="10">
        <v>17346</v>
      </c>
      <c r="N13" s="10"/>
      <c r="O13" s="10"/>
      <c r="P13" s="11">
        <f t="shared" si="1"/>
        <v>134246</v>
      </c>
      <c r="Q13" s="7">
        <f t="shared" si="1"/>
        <v>134235.5</v>
      </c>
      <c r="R13" s="12">
        <f>P13-Q13</f>
        <v>10.5</v>
      </c>
      <c r="S13" s="20">
        <v>45057</v>
      </c>
    </row>
    <row r="14" spans="1:19" ht="12.75">
      <c r="A14" s="60" t="s">
        <v>23</v>
      </c>
      <c r="B14" s="17"/>
      <c r="C14" s="61">
        <v>19417.25</v>
      </c>
      <c r="D14" s="61"/>
      <c r="E14" s="61">
        <v>19160.4</v>
      </c>
      <c r="F14" s="61"/>
      <c r="G14" s="61">
        <v>45540.19</v>
      </c>
      <c r="H14" s="61"/>
      <c r="I14" s="61">
        <v>13996.01</v>
      </c>
      <c r="J14" s="61"/>
      <c r="K14" s="61">
        <v>36885.69</v>
      </c>
      <c r="L14" s="61"/>
      <c r="M14" s="70">
        <v>20772.56</v>
      </c>
      <c r="N14" s="61"/>
      <c r="O14" s="61"/>
      <c r="P14" s="61"/>
      <c r="Q14" s="62">
        <f>C14+E14+G14+I14+K14+M14</f>
        <v>155772.09999999998</v>
      </c>
      <c r="R14" s="61"/>
      <c r="S14" s="20">
        <v>45092</v>
      </c>
    </row>
    <row r="15" spans="1:19" ht="12.75">
      <c r="A15" s="19" t="s">
        <v>39</v>
      </c>
      <c r="B15" s="9"/>
      <c r="C15" s="10">
        <v>3598.75</v>
      </c>
      <c r="D15" s="9"/>
      <c r="E15" s="10">
        <v>3551.1</v>
      </c>
      <c r="F15" s="9"/>
      <c r="G15" s="10">
        <v>8440.31</v>
      </c>
      <c r="H15" s="9"/>
      <c r="I15" s="10">
        <v>2593.99</v>
      </c>
      <c r="J15" s="9"/>
      <c r="K15" s="10">
        <v>6836.31</v>
      </c>
      <c r="L15" s="9"/>
      <c r="M15" s="10">
        <v>3849.94</v>
      </c>
      <c r="N15" s="10"/>
      <c r="O15" s="10"/>
      <c r="P15" s="11"/>
      <c r="Q15" s="7">
        <f>C15+E15+G15+I15+K15+M15</f>
        <v>28870.4</v>
      </c>
      <c r="R15" s="12"/>
      <c r="S15" s="20">
        <v>45127</v>
      </c>
    </row>
    <row r="16" spans="1:19" ht="12.75">
      <c r="A16" s="19" t="s">
        <v>40</v>
      </c>
      <c r="B16" s="9">
        <f>20860+10066-7910</f>
        <v>23016</v>
      </c>
      <c r="C16" s="10">
        <f>C14+C15</f>
        <v>23016</v>
      </c>
      <c r="D16" s="9">
        <f>21336+1414-28</f>
        <v>22722</v>
      </c>
      <c r="E16" s="10">
        <f>E14+E15</f>
        <v>22711.5</v>
      </c>
      <c r="F16" s="9">
        <f>40152+17682-3850</f>
        <v>53984</v>
      </c>
      <c r="G16" s="10">
        <f>G14+G15</f>
        <v>53980.5</v>
      </c>
      <c r="H16" s="9">
        <f>16338+280-28</f>
        <v>16590</v>
      </c>
      <c r="I16" s="10">
        <f>I14+I15</f>
        <v>16590</v>
      </c>
      <c r="J16" s="9">
        <f>37786+5936</f>
        <v>43722</v>
      </c>
      <c r="K16" s="10">
        <f>K14+K15</f>
        <v>43722</v>
      </c>
      <c r="L16" s="9">
        <f>30520+13202-19096</f>
        <v>24626</v>
      </c>
      <c r="M16" s="10">
        <f>M14+M15</f>
        <v>24622.5</v>
      </c>
      <c r="N16" s="10"/>
      <c r="O16" s="10"/>
      <c r="P16" s="11">
        <f>B16+F16+H16+J16+L16+D16+N16</f>
        <v>184660</v>
      </c>
      <c r="Q16" s="7">
        <f>C16+G16+I16+K16+M16+E16</f>
        <v>184642.5</v>
      </c>
      <c r="R16" s="12">
        <f>P16-Q16</f>
        <v>17.5</v>
      </c>
      <c r="S16" s="17"/>
    </row>
    <row r="17" spans="1:19" ht="12.75">
      <c r="A17" s="19" t="s">
        <v>15</v>
      </c>
      <c r="B17" s="9">
        <f>20860+252+224+7910+3738-7658</f>
        <v>25326</v>
      </c>
      <c r="C17" s="10">
        <v>25326</v>
      </c>
      <c r="D17" s="9">
        <f>21336-1848+224+28+3430-2044</f>
        <v>21126</v>
      </c>
      <c r="E17" s="10">
        <v>21119</v>
      </c>
      <c r="F17" s="9">
        <f>40152+504+448+3850-22470-10276</f>
        <v>12208</v>
      </c>
      <c r="G17" s="10">
        <v>12201</v>
      </c>
      <c r="H17" s="9">
        <f>16338+224+196+28+3150-3598</f>
        <v>16338</v>
      </c>
      <c r="I17" s="10">
        <v>16338</v>
      </c>
      <c r="J17" s="9">
        <f>37786+476+420+6734-602</f>
        <v>44814</v>
      </c>
      <c r="K17" s="10">
        <v>44814</v>
      </c>
      <c r="L17" s="9">
        <f>30520+392-1512+19096+5418-28910</f>
        <v>25004</v>
      </c>
      <c r="M17" s="10">
        <v>25004</v>
      </c>
      <c r="N17" s="10"/>
      <c r="O17" s="10"/>
      <c r="P17" s="11">
        <f>B17+F17+H17+J17+L17+D17+N17</f>
        <v>144816</v>
      </c>
      <c r="Q17" s="7">
        <f>C17+G17+I17+K17+M17+E17</f>
        <v>144802</v>
      </c>
      <c r="R17" s="12">
        <f aca="true" t="shared" si="3" ref="R17:R27">P17-Q17</f>
        <v>14</v>
      </c>
      <c r="S17" s="20">
        <v>45127</v>
      </c>
    </row>
    <row r="18" spans="1:19" ht="12.75">
      <c r="A18" s="22" t="s">
        <v>24</v>
      </c>
      <c r="B18" s="6">
        <f aca="true" t="shared" si="4" ref="B18:O18">B13+B16+B17</f>
        <v>61740</v>
      </c>
      <c r="C18" s="6">
        <f t="shared" si="4"/>
        <v>61740</v>
      </c>
      <c r="D18" s="6">
        <f t="shared" si="4"/>
        <v>66332</v>
      </c>
      <c r="E18" s="6">
        <f t="shared" si="4"/>
        <v>66304</v>
      </c>
      <c r="F18" s="6">
        <f t="shared" si="4"/>
        <v>94080</v>
      </c>
      <c r="G18" s="6">
        <f t="shared" si="4"/>
        <v>94069.5</v>
      </c>
      <c r="H18" s="6">
        <f t="shared" si="4"/>
        <v>48846</v>
      </c>
      <c r="I18" s="6">
        <f t="shared" si="4"/>
        <v>48846</v>
      </c>
      <c r="J18" s="6">
        <f t="shared" si="4"/>
        <v>125748</v>
      </c>
      <c r="K18" s="6">
        <f t="shared" si="4"/>
        <v>125748</v>
      </c>
      <c r="L18" s="6">
        <f t="shared" si="4"/>
        <v>66976</v>
      </c>
      <c r="M18" s="6">
        <f t="shared" si="4"/>
        <v>66972.5</v>
      </c>
      <c r="N18" s="6">
        <f t="shared" si="4"/>
        <v>0</v>
      </c>
      <c r="O18" s="6">
        <f t="shared" si="4"/>
        <v>0</v>
      </c>
      <c r="P18" s="43">
        <f>B18+F18+H18+J18+L18+D18+N18</f>
        <v>463722</v>
      </c>
      <c r="Q18" s="43">
        <f>C18+G18+I18+K18+M18+E18</f>
        <v>463680</v>
      </c>
      <c r="R18" s="41">
        <f t="shared" si="3"/>
        <v>42</v>
      </c>
      <c r="S18" s="16"/>
    </row>
    <row r="19" spans="1:19" ht="12.75">
      <c r="A19" s="19" t="s">
        <v>14</v>
      </c>
      <c r="B19" s="9">
        <f>52100+8690-17110</f>
        <v>43680</v>
      </c>
      <c r="C19" s="10">
        <v>43680</v>
      </c>
      <c r="D19" s="10">
        <f>57680+7500-9920</f>
        <v>55260</v>
      </c>
      <c r="E19" s="10">
        <v>55255</v>
      </c>
      <c r="F19" s="9">
        <v>0</v>
      </c>
      <c r="G19" s="10">
        <v>0</v>
      </c>
      <c r="H19" s="9">
        <f>54350+8580-9270</f>
        <v>53660</v>
      </c>
      <c r="I19" s="10">
        <v>53658</v>
      </c>
      <c r="J19" s="9">
        <f>105200+17840-56320</f>
        <v>66720</v>
      </c>
      <c r="K19" s="10">
        <v>66720</v>
      </c>
      <c r="L19" s="10">
        <f>75080+10470-32470</f>
        <v>53080</v>
      </c>
      <c r="M19" s="10">
        <v>53080</v>
      </c>
      <c r="N19" s="10">
        <f>27090-27090</f>
        <v>0</v>
      </c>
      <c r="O19" s="10">
        <v>0</v>
      </c>
      <c r="P19" s="11">
        <f aca="true" t="shared" si="5" ref="P19:Q21">B19+F19+H19+J19+L19+N19+D19</f>
        <v>272400</v>
      </c>
      <c r="Q19" s="7">
        <f t="shared" si="5"/>
        <v>272393</v>
      </c>
      <c r="R19" s="12">
        <f t="shared" si="3"/>
        <v>7</v>
      </c>
      <c r="S19" s="20">
        <v>45159</v>
      </c>
    </row>
    <row r="20" spans="1:19" ht="12.75">
      <c r="A20" s="19" t="s">
        <v>16</v>
      </c>
      <c r="B20" s="9">
        <f>52100+5500+17110-28230</f>
        <v>46480</v>
      </c>
      <c r="C20" s="9">
        <v>46480</v>
      </c>
      <c r="D20" s="10">
        <f>57680+6130+9920-12310</f>
        <v>61420</v>
      </c>
      <c r="E20" s="9">
        <v>61417.5</v>
      </c>
      <c r="F20" s="9">
        <v>0</v>
      </c>
      <c r="G20" s="9">
        <v>0</v>
      </c>
      <c r="H20" s="9">
        <f>54350+9270-9220</f>
        <v>54400</v>
      </c>
      <c r="I20" s="9">
        <v>54400</v>
      </c>
      <c r="J20" s="9">
        <f>105200+11180+56320-41900</f>
        <v>130800</v>
      </c>
      <c r="K20" s="9">
        <v>130800</v>
      </c>
      <c r="L20" s="10">
        <f>75080+8000+32470-58770</f>
        <v>56780</v>
      </c>
      <c r="M20" s="10">
        <v>56780</v>
      </c>
      <c r="N20" s="10">
        <f>27090+2880+27090-57060</f>
        <v>0</v>
      </c>
      <c r="O20" s="10">
        <v>0</v>
      </c>
      <c r="P20" s="11">
        <f t="shared" si="5"/>
        <v>349880</v>
      </c>
      <c r="Q20" s="7">
        <f t="shared" si="5"/>
        <v>349877.5</v>
      </c>
      <c r="R20" s="12">
        <f t="shared" si="3"/>
        <v>2.5</v>
      </c>
      <c r="S20" s="20">
        <v>45188</v>
      </c>
    </row>
    <row r="21" spans="1:19" ht="12.75">
      <c r="A21" s="19" t="s">
        <v>25</v>
      </c>
      <c r="B21" s="9">
        <f>52100+3770+28230-29140</f>
        <v>54960</v>
      </c>
      <c r="C21" s="10">
        <v>54960</v>
      </c>
      <c r="D21" s="10">
        <f>57680+4290+12310-210</f>
        <v>74070</v>
      </c>
      <c r="E21" s="74">
        <v>74055</v>
      </c>
      <c r="F21" s="9">
        <v>0</v>
      </c>
      <c r="G21" s="10"/>
      <c r="H21" s="9">
        <f>54350-33690+5070+9220-50</f>
        <v>34900</v>
      </c>
      <c r="I21" s="74">
        <v>34880</v>
      </c>
      <c r="J21" s="9">
        <f>105200+7790+41900-21050</f>
        <v>133840</v>
      </c>
      <c r="K21" s="10">
        <v>133840</v>
      </c>
      <c r="L21" s="10">
        <f>75080-22920+58770-73140</f>
        <v>37790</v>
      </c>
      <c r="M21" s="10">
        <v>37790</v>
      </c>
      <c r="N21" s="10">
        <f>27090+2000+57060-85670</f>
        <v>480</v>
      </c>
      <c r="O21" s="10">
        <v>480</v>
      </c>
      <c r="P21" s="11">
        <f t="shared" si="5"/>
        <v>336040</v>
      </c>
      <c r="Q21" s="7">
        <f t="shared" si="5"/>
        <v>336005</v>
      </c>
      <c r="R21" s="12">
        <f t="shared" si="3"/>
        <v>35</v>
      </c>
      <c r="S21" s="20">
        <v>45217</v>
      </c>
    </row>
    <row r="22" spans="1:19" ht="12.75">
      <c r="A22" s="22" t="s">
        <v>26</v>
      </c>
      <c r="B22" s="6">
        <f>B19+B20+B21</f>
        <v>145120</v>
      </c>
      <c r="C22" s="6">
        <f>C19+C20+C21</f>
        <v>145120</v>
      </c>
      <c r="D22" s="6">
        <f>D19+D20+D21</f>
        <v>190750</v>
      </c>
      <c r="E22" s="6">
        <f>E19+E20+E21</f>
        <v>190727.5</v>
      </c>
      <c r="F22" s="6">
        <f aca="true" t="shared" si="6" ref="F22:M22">F19+F20+F21</f>
        <v>0</v>
      </c>
      <c r="G22" s="6">
        <f t="shared" si="6"/>
        <v>0</v>
      </c>
      <c r="H22" s="6">
        <f t="shared" si="6"/>
        <v>142960</v>
      </c>
      <c r="I22" s="6">
        <f t="shared" si="6"/>
        <v>142938</v>
      </c>
      <c r="J22" s="6">
        <f t="shared" si="6"/>
        <v>331360</v>
      </c>
      <c r="K22" s="6">
        <f t="shared" si="6"/>
        <v>331360</v>
      </c>
      <c r="L22" s="6">
        <f t="shared" si="6"/>
        <v>147650</v>
      </c>
      <c r="M22" s="6">
        <f t="shared" si="6"/>
        <v>147650</v>
      </c>
      <c r="N22" s="6">
        <f>N19+N20+N21</f>
        <v>480</v>
      </c>
      <c r="O22" s="6">
        <f>O19+O20+O21</f>
        <v>480</v>
      </c>
      <c r="P22" s="43">
        <f>B22+D22+F22+H22+J22+L22+N22</f>
        <v>958320</v>
      </c>
      <c r="Q22" s="43">
        <f>C22+E22+G22+I22+K22+M22+O22</f>
        <v>958275.5</v>
      </c>
      <c r="R22" s="41">
        <f t="shared" si="3"/>
        <v>44.5</v>
      </c>
      <c r="S22" s="16"/>
    </row>
    <row r="23" spans="1:19" ht="12.75">
      <c r="A23" s="19" t="s">
        <v>27</v>
      </c>
      <c r="B23" s="9">
        <f>52100+2200-50</f>
        <v>54250</v>
      </c>
      <c r="C23" s="10">
        <v>54240</v>
      </c>
      <c r="D23" s="10">
        <f>57680+2900+19710</f>
        <v>80290</v>
      </c>
      <c r="E23" s="10">
        <v>80277.5</v>
      </c>
      <c r="F23" s="10">
        <v>0</v>
      </c>
      <c r="G23" s="10">
        <v>0</v>
      </c>
      <c r="H23" s="9">
        <f>54350+2950+10800-660</f>
        <v>67440</v>
      </c>
      <c r="I23" s="10">
        <v>67440</v>
      </c>
      <c r="J23" s="9">
        <f>105200+4500+10970-180</f>
        <v>120490</v>
      </c>
      <c r="K23" s="10">
        <v>120480</v>
      </c>
      <c r="L23" s="10">
        <f>75080+2750-32800-5360</f>
        <v>39670</v>
      </c>
      <c r="M23" s="10">
        <v>39670</v>
      </c>
      <c r="N23" s="10">
        <f>27090-15300-10140</f>
        <v>1650</v>
      </c>
      <c r="O23" s="81">
        <v>1645</v>
      </c>
      <c r="P23" s="11">
        <f aca="true" t="shared" si="7" ref="P23:Q26">B23+F23+H23+J23+L23+N23+D23</f>
        <v>363790</v>
      </c>
      <c r="Q23" s="7">
        <f t="shared" si="7"/>
        <v>363752.5</v>
      </c>
      <c r="R23" s="12">
        <f t="shared" si="3"/>
        <v>37.5</v>
      </c>
      <c r="S23" s="20">
        <v>45250</v>
      </c>
    </row>
    <row r="24" spans="1:20" ht="12.75">
      <c r="A24" s="19" t="s">
        <v>28</v>
      </c>
      <c r="B24" s="9">
        <f>52100+11800+2770-2670</f>
        <v>64000</v>
      </c>
      <c r="C24" s="10">
        <v>64000</v>
      </c>
      <c r="D24" s="10">
        <f>57680+58000+15200+3700-23830</f>
        <v>110750</v>
      </c>
      <c r="E24" s="10">
        <v>110750</v>
      </c>
      <c r="F24" s="10">
        <v>0</v>
      </c>
      <c r="G24" s="10">
        <v>0</v>
      </c>
      <c r="H24" s="9">
        <f>54350+40000+12300+3540-15870</f>
        <v>94320</v>
      </c>
      <c r="I24" s="10">
        <v>94320</v>
      </c>
      <c r="J24" s="9">
        <f>105200-10970+23720+6380-130</f>
        <v>124200</v>
      </c>
      <c r="K24" s="82">
        <v>124195</v>
      </c>
      <c r="L24" s="10">
        <f>75080-10080-18490</f>
        <v>46510</v>
      </c>
      <c r="M24" s="82">
        <v>46510</v>
      </c>
      <c r="N24" s="10">
        <f>27090+4940-32030</f>
        <v>0</v>
      </c>
      <c r="O24" s="10">
        <v>0</v>
      </c>
      <c r="P24" s="11">
        <f t="shared" si="7"/>
        <v>439780</v>
      </c>
      <c r="Q24" s="7">
        <f t="shared" si="7"/>
        <v>439775</v>
      </c>
      <c r="R24" s="12">
        <f t="shared" si="3"/>
        <v>5</v>
      </c>
      <c r="S24" s="20">
        <v>45275</v>
      </c>
      <c r="T24" s="54" t="s">
        <v>52</v>
      </c>
    </row>
    <row r="25" spans="1:19" ht="12.75">
      <c r="A25" s="19" t="s">
        <v>17</v>
      </c>
      <c r="B25" s="9">
        <f>52100+2670+28300</f>
        <v>83070</v>
      </c>
      <c r="C25" s="10"/>
      <c r="D25" s="10">
        <f>57680+42000</f>
        <v>99680</v>
      </c>
      <c r="E25" s="10"/>
      <c r="F25" s="38">
        <v>0</v>
      </c>
      <c r="G25" s="10">
        <v>0</v>
      </c>
      <c r="H25" s="9">
        <f>54350+38750</f>
        <v>93100</v>
      </c>
      <c r="I25" s="10"/>
      <c r="J25" s="9">
        <f>105200+130+61920</f>
        <v>167250</v>
      </c>
      <c r="K25" s="10"/>
      <c r="L25" s="10">
        <f>75080-25080</f>
        <v>50000</v>
      </c>
      <c r="M25" s="10"/>
      <c r="N25" s="10">
        <v>27090</v>
      </c>
      <c r="O25" s="10"/>
      <c r="P25" s="11">
        <f t="shared" si="7"/>
        <v>520190</v>
      </c>
      <c r="Q25" s="7">
        <f t="shared" si="7"/>
        <v>0</v>
      </c>
      <c r="R25" s="12">
        <f t="shared" si="3"/>
        <v>520190</v>
      </c>
      <c r="S25" s="20"/>
    </row>
    <row r="26" spans="1:19" ht="12.75">
      <c r="A26" s="22" t="s">
        <v>29</v>
      </c>
      <c r="B26" s="6">
        <f>B23+B24+B25</f>
        <v>201320</v>
      </c>
      <c r="C26" s="6">
        <f>C23+C24+C25</f>
        <v>118240</v>
      </c>
      <c r="D26" s="6">
        <f>D23+D24+D25</f>
        <v>290720</v>
      </c>
      <c r="E26" s="6">
        <f>E23+E24+E25</f>
        <v>191027.5</v>
      </c>
      <c r="F26" s="6">
        <f>F23+F24+F25</f>
        <v>0</v>
      </c>
      <c r="G26" s="6">
        <f aca="true" t="shared" si="8" ref="G26:M26">G23+G24+G25</f>
        <v>0</v>
      </c>
      <c r="H26" s="6">
        <f t="shared" si="8"/>
        <v>254860</v>
      </c>
      <c r="I26" s="6">
        <f t="shared" si="8"/>
        <v>161760</v>
      </c>
      <c r="J26" s="6">
        <f t="shared" si="8"/>
        <v>411940</v>
      </c>
      <c r="K26" s="6">
        <f t="shared" si="8"/>
        <v>244675</v>
      </c>
      <c r="L26" s="6">
        <f t="shared" si="8"/>
        <v>136180</v>
      </c>
      <c r="M26" s="6">
        <f t="shared" si="8"/>
        <v>86180</v>
      </c>
      <c r="N26" s="6">
        <f>N23+N24+N25</f>
        <v>28740</v>
      </c>
      <c r="O26" s="6">
        <f>O23+O24+O25</f>
        <v>1645</v>
      </c>
      <c r="P26" s="43">
        <f t="shared" si="7"/>
        <v>1323760</v>
      </c>
      <c r="Q26" s="43">
        <f t="shared" si="7"/>
        <v>803527.5</v>
      </c>
      <c r="R26" s="41">
        <f t="shared" si="3"/>
        <v>520232.5</v>
      </c>
      <c r="S26" s="16"/>
    </row>
    <row r="27" spans="1:19" ht="12.75">
      <c r="A27" s="22" t="s">
        <v>30</v>
      </c>
      <c r="B27" s="6">
        <f>B12+B18+B22+B26</f>
        <v>464208</v>
      </c>
      <c r="C27" s="6">
        <f aca="true" t="shared" si="9" ref="C27:M27">C12+C18+C22+C26</f>
        <v>381128</v>
      </c>
      <c r="D27" s="6">
        <f t="shared" si="9"/>
        <v>566142</v>
      </c>
      <c r="E27" s="6">
        <f t="shared" si="9"/>
        <v>466395.5</v>
      </c>
      <c r="F27" s="6">
        <f t="shared" si="9"/>
        <v>210630</v>
      </c>
      <c r="G27" s="6">
        <f t="shared" si="9"/>
        <v>210605.5</v>
      </c>
      <c r="H27" s="6">
        <f t="shared" si="9"/>
        <v>514160</v>
      </c>
      <c r="I27" s="6">
        <f t="shared" si="9"/>
        <v>421006.5</v>
      </c>
      <c r="J27" s="6">
        <f t="shared" si="9"/>
        <v>984926</v>
      </c>
      <c r="K27" s="6">
        <f t="shared" si="9"/>
        <v>817661</v>
      </c>
      <c r="L27" s="6">
        <f t="shared" si="9"/>
        <v>425706</v>
      </c>
      <c r="M27" s="6">
        <f t="shared" si="9"/>
        <v>375702.5</v>
      </c>
      <c r="N27" s="6">
        <f>N12+N18+N22+N26</f>
        <v>29220</v>
      </c>
      <c r="O27" s="6">
        <f>O12+O18+O22+O26</f>
        <v>2125</v>
      </c>
      <c r="P27" s="43">
        <f>B27+F27+H27+J27+L27+D27+N27</f>
        <v>3194992</v>
      </c>
      <c r="Q27" s="43">
        <f>C27+G27+I27+K27+M27+E27+O27</f>
        <v>2674624</v>
      </c>
      <c r="R27" s="41">
        <f t="shared" si="3"/>
        <v>520368</v>
      </c>
      <c r="S27" s="16"/>
    </row>
    <row r="28" spans="1:20" ht="12.75">
      <c r="A28" s="76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8"/>
      <c r="S28" s="79"/>
      <c r="T28" s="80"/>
    </row>
    <row r="29" spans="1:12" ht="25.5">
      <c r="A29" s="37" t="s">
        <v>2</v>
      </c>
      <c r="B29" s="8">
        <f>B31-P27</f>
        <v>8</v>
      </c>
      <c r="C29" s="14"/>
      <c r="J29" s="2"/>
      <c r="L29" s="2"/>
    </row>
    <row r="30" spans="1:18" ht="12.75">
      <c r="A30" s="37"/>
      <c r="B30" s="2"/>
      <c r="C30" s="14"/>
      <c r="J30" s="2"/>
      <c r="L30" s="2"/>
      <c r="R30" s="69"/>
    </row>
    <row r="31" spans="1:18" ht="12.75">
      <c r="A31" s="36" t="s">
        <v>32</v>
      </c>
      <c r="B31" s="8">
        <f>B32+B33+B34+B35+B36+B37+B38+B39+B40+B41+B42+B43</f>
        <v>3195000</v>
      </c>
      <c r="D31" s="2"/>
      <c r="P31" s="67"/>
      <c r="Q31" s="68"/>
      <c r="R31" s="2"/>
    </row>
    <row r="32" spans="1:12" ht="12.75">
      <c r="A32" s="44" t="s">
        <v>35</v>
      </c>
      <c r="B32" s="2">
        <v>161000</v>
      </c>
      <c r="C32" s="2"/>
      <c r="D32" s="2"/>
      <c r="L32" s="2"/>
    </row>
    <row r="33" spans="1:17" ht="12.75">
      <c r="A33" s="45" t="s">
        <v>33</v>
      </c>
      <c r="B33" s="2">
        <v>161000</v>
      </c>
      <c r="C33" s="2"/>
      <c r="H33" s="2"/>
      <c r="M33" s="46"/>
      <c r="N33" s="66"/>
      <c r="O33" s="65"/>
      <c r="P33" s="46"/>
      <c r="Q33" s="46"/>
    </row>
    <row r="34" spans="1:18" ht="12.75">
      <c r="A34" s="57" t="s">
        <v>45</v>
      </c>
      <c r="B34" s="2">
        <v>142996</v>
      </c>
      <c r="M34" s="46"/>
      <c r="N34" s="46"/>
      <c r="O34" s="46"/>
      <c r="P34" s="63"/>
      <c r="Q34" s="46"/>
      <c r="R34" s="46"/>
    </row>
    <row r="35" spans="1:18" ht="12.75">
      <c r="A35" s="57" t="s">
        <v>46</v>
      </c>
      <c r="B35" s="2">
        <v>167020</v>
      </c>
      <c r="M35" s="46"/>
      <c r="N35" s="46"/>
      <c r="O35" s="46"/>
      <c r="P35" s="63"/>
      <c r="Q35" s="46"/>
      <c r="R35" s="46"/>
    </row>
    <row r="36" spans="1:18" ht="18.75">
      <c r="A36" s="57" t="s">
        <v>23</v>
      </c>
      <c r="B36" s="55">
        <v>166992</v>
      </c>
      <c r="M36" s="46"/>
      <c r="N36" s="46"/>
      <c r="O36" s="46"/>
      <c r="P36" s="63"/>
      <c r="Q36" s="53"/>
      <c r="R36" s="46"/>
    </row>
    <row r="37" spans="1:18" ht="18.75">
      <c r="A37" s="57" t="s">
        <v>47</v>
      </c>
      <c r="B37" s="56">
        <v>166992</v>
      </c>
      <c r="M37" s="46"/>
      <c r="N37" s="46"/>
      <c r="O37" s="46"/>
      <c r="P37" s="46"/>
      <c r="Q37" s="53"/>
      <c r="R37" s="46"/>
    </row>
    <row r="38" spans="1:2" ht="12.75">
      <c r="A38" s="57" t="s">
        <v>48</v>
      </c>
      <c r="B38" s="64">
        <v>371500</v>
      </c>
    </row>
    <row r="39" spans="1:2" ht="12.75">
      <c r="A39" s="57" t="s">
        <v>50</v>
      </c>
      <c r="B39" s="64">
        <v>371500</v>
      </c>
    </row>
    <row r="40" spans="1:2" ht="12.75">
      <c r="A40" s="57" t="s">
        <v>43</v>
      </c>
      <c r="B40" s="64">
        <v>371500</v>
      </c>
    </row>
    <row r="41" spans="1:2" ht="12.75">
      <c r="A41" s="57" t="s">
        <v>42</v>
      </c>
      <c r="B41" s="64">
        <v>371500</v>
      </c>
    </row>
    <row r="42" spans="1:2" ht="12.75">
      <c r="A42" s="57" t="s">
        <v>49</v>
      </c>
      <c r="B42" s="64">
        <v>371500</v>
      </c>
    </row>
    <row r="43" spans="1:16" ht="12.75">
      <c r="A43" s="57" t="s">
        <v>44</v>
      </c>
      <c r="B43" s="64">
        <v>371500</v>
      </c>
      <c r="P43" s="75"/>
    </row>
    <row r="45" ht="12.75">
      <c r="A45" s="84" t="s">
        <v>58</v>
      </c>
    </row>
    <row r="46" ht="12.75">
      <c r="A46" s="1"/>
    </row>
    <row r="47" spans="1:17" ht="39" customHeight="1">
      <c r="A47" s="42" t="s">
        <v>0</v>
      </c>
      <c r="B47" s="87" t="s">
        <v>59</v>
      </c>
      <c r="C47" s="87"/>
      <c r="D47" s="85" t="s">
        <v>36</v>
      </c>
      <c r="E47" s="92"/>
      <c r="F47" s="85" t="s">
        <v>60</v>
      </c>
      <c r="G47" s="86"/>
      <c r="H47" s="85" t="s">
        <v>61</v>
      </c>
      <c r="I47" s="86"/>
      <c r="J47" s="87" t="s">
        <v>62</v>
      </c>
      <c r="K47" s="88"/>
      <c r="L47" s="93" t="s">
        <v>41</v>
      </c>
      <c r="M47" s="94"/>
      <c r="N47" s="85" t="s">
        <v>1</v>
      </c>
      <c r="O47" s="95"/>
      <c r="P47" s="92"/>
      <c r="Q47" s="17"/>
    </row>
    <row r="48" spans="1:17" ht="18" customHeight="1">
      <c r="A48" s="18"/>
      <c r="B48" s="32" t="s">
        <v>7</v>
      </c>
      <c r="C48" s="32" t="s">
        <v>8</v>
      </c>
      <c r="D48" s="32" t="s">
        <v>7</v>
      </c>
      <c r="E48" s="32" t="s">
        <v>8</v>
      </c>
      <c r="F48" s="32" t="s">
        <v>7</v>
      </c>
      <c r="G48" s="32" t="s">
        <v>8</v>
      </c>
      <c r="H48" s="32" t="s">
        <v>7</v>
      </c>
      <c r="I48" s="32" t="s">
        <v>8</v>
      </c>
      <c r="J48" s="32" t="s">
        <v>7</v>
      </c>
      <c r="K48" s="32" t="s">
        <v>8</v>
      </c>
      <c r="L48" s="32" t="s">
        <v>7</v>
      </c>
      <c r="M48" s="32" t="s">
        <v>8</v>
      </c>
      <c r="N48" s="32" t="s">
        <v>7</v>
      </c>
      <c r="O48" s="32" t="s">
        <v>8</v>
      </c>
      <c r="P48" s="34" t="s">
        <v>9</v>
      </c>
      <c r="Q48" s="35" t="s">
        <v>10</v>
      </c>
    </row>
    <row r="49" spans="1:17" ht="12.75">
      <c r="A49" s="19" t="s">
        <v>18</v>
      </c>
      <c r="B49" s="10">
        <v>49580</v>
      </c>
      <c r="C49" s="9"/>
      <c r="D49" s="10">
        <v>63990</v>
      </c>
      <c r="E49" s="9"/>
      <c r="F49" s="10">
        <v>73680</v>
      </c>
      <c r="G49" s="9"/>
      <c r="H49" s="10">
        <v>99850</v>
      </c>
      <c r="I49" s="9"/>
      <c r="J49" s="9">
        <v>75760</v>
      </c>
      <c r="K49" s="10"/>
      <c r="L49" s="61">
        <v>20140</v>
      </c>
      <c r="M49" s="17"/>
      <c r="N49" s="11">
        <f>B49+D49+F49+H49+J49+L49</f>
        <v>383000</v>
      </c>
      <c r="O49" s="7">
        <f aca="true" t="shared" si="10" ref="O49:O65">C49+E49+G49+I49+K49+M49</f>
        <v>0</v>
      </c>
      <c r="P49" s="12">
        <f aca="true" t="shared" si="11" ref="P49:P65">N49-O49</f>
        <v>383000</v>
      </c>
      <c r="Q49" s="20"/>
    </row>
    <row r="50" spans="1:17" ht="12.75">
      <c r="A50" s="19" t="s">
        <v>19</v>
      </c>
      <c r="B50" s="10"/>
      <c r="C50" s="10"/>
      <c r="D50" s="10"/>
      <c r="E50" s="10"/>
      <c r="F50" s="10"/>
      <c r="G50" s="10"/>
      <c r="H50" s="10"/>
      <c r="I50" s="10"/>
      <c r="J50" s="9"/>
      <c r="K50" s="10"/>
      <c r="L50" s="17"/>
      <c r="M50" s="17"/>
      <c r="N50" s="11">
        <f aca="true" t="shared" si="12" ref="N50:N65">B50+D50+F50+H50+J50+L50</f>
        <v>0</v>
      </c>
      <c r="O50" s="7">
        <f t="shared" si="10"/>
        <v>0</v>
      </c>
      <c r="P50" s="12">
        <f t="shared" si="11"/>
        <v>0</v>
      </c>
      <c r="Q50" s="21"/>
    </row>
    <row r="51" spans="1:17" ht="12.75">
      <c r="A51" s="19" t="s">
        <v>20</v>
      </c>
      <c r="B51" s="9"/>
      <c r="C51" s="10"/>
      <c r="D51" s="9"/>
      <c r="E51" s="10"/>
      <c r="F51" s="9"/>
      <c r="G51" s="10"/>
      <c r="H51" s="9"/>
      <c r="I51" s="10"/>
      <c r="J51" s="9"/>
      <c r="K51" s="10"/>
      <c r="L51" s="17"/>
      <c r="M51" s="17"/>
      <c r="N51" s="11">
        <f t="shared" si="12"/>
        <v>0</v>
      </c>
      <c r="O51" s="7">
        <f t="shared" si="10"/>
        <v>0</v>
      </c>
      <c r="P51" s="12">
        <f t="shared" si="11"/>
        <v>0</v>
      </c>
      <c r="Q51" s="20"/>
    </row>
    <row r="52" spans="1:17" ht="12.75">
      <c r="A52" s="22" t="s">
        <v>53</v>
      </c>
      <c r="B52" s="6">
        <f>B49+B50+B51</f>
        <v>49580</v>
      </c>
      <c r="C52" s="6">
        <f aca="true" t="shared" si="13" ref="C52:K52">C49+C50+C51</f>
        <v>0</v>
      </c>
      <c r="D52" s="6">
        <f t="shared" si="13"/>
        <v>63990</v>
      </c>
      <c r="E52" s="6">
        <f t="shared" si="13"/>
        <v>0</v>
      </c>
      <c r="F52" s="6">
        <f t="shared" si="13"/>
        <v>73680</v>
      </c>
      <c r="G52" s="6">
        <f t="shared" si="13"/>
        <v>0</v>
      </c>
      <c r="H52" s="6">
        <f t="shared" si="13"/>
        <v>99850</v>
      </c>
      <c r="I52" s="6">
        <f t="shared" si="13"/>
        <v>0</v>
      </c>
      <c r="J52" s="6">
        <f t="shared" si="13"/>
        <v>75760</v>
      </c>
      <c r="K52" s="6">
        <f t="shared" si="13"/>
        <v>0</v>
      </c>
      <c r="L52" s="6">
        <f>L49+L50+L51</f>
        <v>20140</v>
      </c>
      <c r="M52" s="6">
        <f>M49+M50+M51</f>
        <v>0</v>
      </c>
      <c r="N52" s="43">
        <f t="shared" si="12"/>
        <v>383000</v>
      </c>
      <c r="O52" s="43">
        <f t="shared" si="10"/>
        <v>0</v>
      </c>
      <c r="P52" s="41">
        <f t="shared" si="11"/>
        <v>383000</v>
      </c>
      <c r="Q52" s="16"/>
    </row>
    <row r="53" spans="1:17" ht="12.75">
      <c r="A53" s="19" t="s">
        <v>22</v>
      </c>
      <c r="B53" s="9"/>
      <c r="C53" s="9"/>
      <c r="D53" s="9"/>
      <c r="E53" s="9"/>
      <c r="F53" s="9"/>
      <c r="G53" s="9"/>
      <c r="H53" s="9"/>
      <c r="I53" s="9"/>
      <c r="J53" s="9"/>
      <c r="K53" s="10"/>
      <c r="L53" s="17"/>
      <c r="M53" s="17"/>
      <c r="N53" s="11">
        <f t="shared" si="12"/>
        <v>0</v>
      </c>
      <c r="O53" s="7">
        <f t="shared" si="10"/>
        <v>0</v>
      </c>
      <c r="P53" s="12">
        <f t="shared" si="11"/>
        <v>0</v>
      </c>
      <c r="Q53" s="20"/>
    </row>
    <row r="54" spans="1:17" ht="12.75">
      <c r="A54" s="19" t="s">
        <v>23</v>
      </c>
      <c r="B54" s="9"/>
      <c r="C54" s="10"/>
      <c r="D54" s="9"/>
      <c r="E54" s="10"/>
      <c r="F54" s="9"/>
      <c r="G54" s="10"/>
      <c r="H54" s="9"/>
      <c r="I54" s="10"/>
      <c r="J54" s="9"/>
      <c r="K54" s="10"/>
      <c r="L54" s="17"/>
      <c r="M54" s="17"/>
      <c r="N54" s="11">
        <f t="shared" si="12"/>
        <v>0</v>
      </c>
      <c r="O54" s="7">
        <f t="shared" si="10"/>
        <v>0</v>
      </c>
      <c r="P54" s="12">
        <f t="shared" si="11"/>
        <v>0</v>
      </c>
      <c r="Q54" s="20"/>
    </row>
    <row r="55" spans="1:17" ht="12.75">
      <c r="A55" s="19" t="s">
        <v>15</v>
      </c>
      <c r="B55" s="9"/>
      <c r="C55" s="10"/>
      <c r="D55" s="9"/>
      <c r="E55" s="10"/>
      <c r="F55" s="9"/>
      <c r="G55" s="10"/>
      <c r="H55" s="9"/>
      <c r="I55" s="10"/>
      <c r="J55" s="9"/>
      <c r="K55" s="10"/>
      <c r="L55" s="17"/>
      <c r="M55" s="17"/>
      <c r="N55" s="11">
        <f t="shared" si="12"/>
        <v>0</v>
      </c>
      <c r="O55" s="7">
        <f t="shared" si="10"/>
        <v>0</v>
      </c>
      <c r="P55" s="12">
        <f t="shared" si="11"/>
        <v>0</v>
      </c>
      <c r="Q55" s="20"/>
    </row>
    <row r="56" spans="1:17" ht="12.75">
      <c r="A56" s="22" t="s">
        <v>54</v>
      </c>
      <c r="B56" s="6">
        <f>B53+B54+B55</f>
        <v>0</v>
      </c>
      <c r="C56" s="6">
        <f aca="true" t="shared" si="14" ref="C56:M56">C53+C54+C55</f>
        <v>0</v>
      </c>
      <c r="D56" s="6">
        <f t="shared" si="14"/>
        <v>0</v>
      </c>
      <c r="E56" s="6">
        <f t="shared" si="14"/>
        <v>0</v>
      </c>
      <c r="F56" s="6">
        <f t="shared" si="14"/>
        <v>0</v>
      </c>
      <c r="G56" s="6">
        <f t="shared" si="14"/>
        <v>0</v>
      </c>
      <c r="H56" s="6">
        <f t="shared" si="14"/>
        <v>0</v>
      </c>
      <c r="I56" s="6">
        <f t="shared" si="14"/>
        <v>0</v>
      </c>
      <c r="J56" s="6">
        <f t="shared" si="14"/>
        <v>0</v>
      </c>
      <c r="K56" s="6">
        <f t="shared" si="14"/>
        <v>0</v>
      </c>
      <c r="L56" s="6">
        <f t="shared" si="14"/>
        <v>0</v>
      </c>
      <c r="M56" s="6">
        <f t="shared" si="14"/>
        <v>0</v>
      </c>
      <c r="N56" s="43">
        <f t="shared" si="12"/>
        <v>0</v>
      </c>
      <c r="O56" s="43">
        <f t="shared" si="10"/>
        <v>0</v>
      </c>
      <c r="P56" s="41">
        <f t="shared" si="11"/>
        <v>0</v>
      </c>
      <c r="Q56" s="16"/>
    </row>
    <row r="57" spans="1:17" ht="12.75">
      <c r="A57" s="19" t="s">
        <v>14</v>
      </c>
      <c r="B57" s="9"/>
      <c r="C57" s="10"/>
      <c r="D57" s="9"/>
      <c r="E57" s="10"/>
      <c r="F57" s="9"/>
      <c r="G57" s="10"/>
      <c r="H57" s="9"/>
      <c r="I57" s="10"/>
      <c r="J57" s="10"/>
      <c r="K57" s="10"/>
      <c r="L57" s="17"/>
      <c r="M57" s="17"/>
      <c r="N57" s="11">
        <f t="shared" si="12"/>
        <v>0</v>
      </c>
      <c r="O57" s="7">
        <f t="shared" si="10"/>
        <v>0</v>
      </c>
      <c r="P57" s="12">
        <f t="shared" si="11"/>
        <v>0</v>
      </c>
      <c r="Q57" s="20"/>
    </row>
    <row r="58" spans="1:17" ht="12.75">
      <c r="A58" s="19" t="s">
        <v>16</v>
      </c>
      <c r="B58" s="9"/>
      <c r="C58" s="9"/>
      <c r="D58" s="9"/>
      <c r="E58" s="9"/>
      <c r="F58" s="9"/>
      <c r="G58" s="9"/>
      <c r="H58" s="9"/>
      <c r="I58" s="9"/>
      <c r="J58" s="9"/>
      <c r="K58" s="10"/>
      <c r="L58" s="17"/>
      <c r="M58" s="17"/>
      <c r="N58" s="11">
        <f t="shared" si="12"/>
        <v>0</v>
      </c>
      <c r="O58" s="7">
        <f t="shared" si="10"/>
        <v>0</v>
      </c>
      <c r="P58" s="12">
        <f t="shared" si="11"/>
        <v>0</v>
      </c>
      <c r="Q58" s="20"/>
    </row>
    <row r="59" spans="1:17" ht="12.75">
      <c r="A59" s="19" t="s">
        <v>25</v>
      </c>
      <c r="B59" s="9"/>
      <c r="C59" s="10"/>
      <c r="D59" s="9"/>
      <c r="E59" s="10"/>
      <c r="F59" s="9"/>
      <c r="G59" s="10"/>
      <c r="H59" s="9"/>
      <c r="I59" s="10"/>
      <c r="J59" s="9"/>
      <c r="K59" s="10"/>
      <c r="L59" s="17"/>
      <c r="M59" s="17"/>
      <c r="N59" s="11">
        <f t="shared" si="12"/>
        <v>0</v>
      </c>
      <c r="O59" s="7">
        <f t="shared" si="10"/>
        <v>0</v>
      </c>
      <c r="P59" s="12">
        <f t="shared" si="11"/>
        <v>0</v>
      </c>
      <c r="Q59" s="20"/>
    </row>
    <row r="60" spans="1:17" ht="12.75">
      <c r="A60" s="22" t="s">
        <v>55</v>
      </c>
      <c r="B60" s="6">
        <f>B57+B58+B59</f>
        <v>0</v>
      </c>
      <c r="C60" s="6">
        <f aca="true" t="shared" si="15" ref="C60:M60">C57+C58+C59</f>
        <v>0</v>
      </c>
      <c r="D60" s="6">
        <f t="shared" si="15"/>
        <v>0</v>
      </c>
      <c r="E60" s="6">
        <f t="shared" si="15"/>
        <v>0</v>
      </c>
      <c r="F60" s="6">
        <f t="shared" si="15"/>
        <v>0</v>
      </c>
      <c r="G60" s="6">
        <f t="shared" si="15"/>
        <v>0</v>
      </c>
      <c r="H60" s="6">
        <f t="shared" si="15"/>
        <v>0</v>
      </c>
      <c r="I60" s="6">
        <f t="shared" si="15"/>
        <v>0</v>
      </c>
      <c r="J60" s="6">
        <f t="shared" si="15"/>
        <v>0</v>
      </c>
      <c r="K60" s="6">
        <f t="shared" si="15"/>
        <v>0</v>
      </c>
      <c r="L60" s="6">
        <f t="shared" si="15"/>
        <v>0</v>
      </c>
      <c r="M60" s="6">
        <f t="shared" si="15"/>
        <v>0</v>
      </c>
      <c r="N60" s="43">
        <f t="shared" si="12"/>
        <v>0</v>
      </c>
      <c r="O60" s="43">
        <f t="shared" si="10"/>
        <v>0</v>
      </c>
      <c r="P60" s="41">
        <f t="shared" si="11"/>
        <v>0</v>
      </c>
      <c r="Q60" s="16"/>
    </row>
    <row r="61" spans="1:17" ht="12.75">
      <c r="A61" s="19" t="s">
        <v>27</v>
      </c>
      <c r="B61" s="10"/>
      <c r="C61" s="10"/>
      <c r="D61" s="10"/>
      <c r="E61" s="10"/>
      <c r="F61" s="10"/>
      <c r="G61" s="10"/>
      <c r="H61" s="10"/>
      <c r="I61" s="10"/>
      <c r="J61" s="9"/>
      <c r="K61" s="10"/>
      <c r="L61" s="17"/>
      <c r="M61" s="17"/>
      <c r="N61" s="11">
        <f t="shared" si="12"/>
        <v>0</v>
      </c>
      <c r="O61" s="7">
        <f t="shared" si="10"/>
        <v>0</v>
      </c>
      <c r="P61" s="12">
        <f t="shared" si="11"/>
        <v>0</v>
      </c>
      <c r="Q61" s="20"/>
    </row>
    <row r="62" spans="1:17" ht="12.75">
      <c r="A62" s="19" t="s">
        <v>28</v>
      </c>
      <c r="B62" s="10"/>
      <c r="C62" s="10"/>
      <c r="D62" s="10"/>
      <c r="E62" s="10"/>
      <c r="F62" s="10"/>
      <c r="G62" s="10"/>
      <c r="H62" s="10"/>
      <c r="I62" s="10"/>
      <c r="J62" s="9"/>
      <c r="K62" s="10"/>
      <c r="L62" s="17"/>
      <c r="M62" s="17"/>
      <c r="N62" s="11">
        <f t="shared" si="12"/>
        <v>0</v>
      </c>
      <c r="O62" s="7">
        <f t="shared" si="10"/>
        <v>0</v>
      </c>
      <c r="P62" s="12">
        <f t="shared" si="11"/>
        <v>0</v>
      </c>
      <c r="Q62" s="20"/>
    </row>
    <row r="63" spans="1:17" ht="12.75">
      <c r="A63" s="19" t="s">
        <v>17</v>
      </c>
      <c r="B63" s="38"/>
      <c r="C63" s="10"/>
      <c r="D63" s="38"/>
      <c r="E63" s="10"/>
      <c r="F63" s="38"/>
      <c r="G63" s="10"/>
      <c r="H63" s="38"/>
      <c r="I63" s="10"/>
      <c r="J63" s="9"/>
      <c r="K63" s="10"/>
      <c r="L63" s="17"/>
      <c r="M63" s="17"/>
      <c r="N63" s="11">
        <f t="shared" si="12"/>
        <v>0</v>
      </c>
      <c r="O63" s="7">
        <f t="shared" si="10"/>
        <v>0</v>
      </c>
      <c r="P63" s="12">
        <f t="shared" si="11"/>
        <v>0</v>
      </c>
      <c r="Q63" s="20"/>
    </row>
    <row r="64" spans="1:17" ht="12.75">
      <c r="A64" s="22" t="s">
        <v>56</v>
      </c>
      <c r="B64" s="6">
        <f>B61+B62+B63</f>
        <v>0</v>
      </c>
      <c r="C64" s="6">
        <f aca="true" t="shared" si="16" ref="C64:M64">C61+C62+C63</f>
        <v>0</v>
      </c>
      <c r="D64" s="6">
        <f t="shared" si="16"/>
        <v>0</v>
      </c>
      <c r="E64" s="6">
        <f t="shared" si="16"/>
        <v>0</v>
      </c>
      <c r="F64" s="6">
        <f t="shared" si="16"/>
        <v>0</v>
      </c>
      <c r="G64" s="6">
        <f t="shared" si="16"/>
        <v>0</v>
      </c>
      <c r="H64" s="6">
        <f t="shared" si="16"/>
        <v>0</v>
      </c>
      <c r="I64" s="6">
        <f t="shared" si="16"/>
        <v>0</v>
      </c>
      <c r="J64" s="6">
        <f t="shared" si="16"/>
        <v>0</v>
      </c>
      <c r="K64" s="6">
        <f t="shared" si="16"/>
        <v>0</v>
      </c>
      <c r="L64" s="6">
        <f t="shared" si="16"/>
        <v>0</v>
      </c>
      <c r="M64" s="6">
        <f t="shared" si="16"/>
        <v>0</v>
      </c>
      <c r="N64" s="43">
        <f t="shared" si="12"/>
        <v>0</v>
      </c>
      <c r="O64" s="43">
        <f t="shared" si="10"/>
        <v>0</v>
      </c>
      <c r="P64" s="41">
        <f t="shared" si="11"/>
        <v>0</v>
      </c>
      <c r="Q64" s="16"/>
    </row>
    <row r="65" spans="1:17" ht="12.75">
      <c r="A65" s="22" t="s">
        <v>57</v>
      </c>
      <c r="B65" s="6">
        <f aca="true" t="shared" si="17" ref="B65:M65">B52+B56+B60+B64</f>
        <v>49580</v>
      </c>
      <c r="C65" s="6">
        <f t="shared" si="17"/>
        <v>0</v>
      </c>
      <c r="D65" s="6">
        <f t="shared" si="17"/>
        <v>63990</v>
      </c>
      <c r="E65" s="6">
        <f t="shared" si="17"/>
        <v>0</v>
      </c>
      <c r="F65" s="6">
        <f t="shared" si="17"/>
        <v>73680</v>
      </c>
      <c r="G65" s="6">
        <f t="shared" si="17"/>
        <v>0</v>
      </c>
      <c r="H65" s="6">
        <f t="shared" si="17"/>
        <v>99850</v>
      </c>
      <c r="I65" s="6">
        <f t="shared" si="17"/>
        <v>0</v>
      </c>
      <c r="J65" s="6">
        <f t="shared" si="17"/>
        <v>75760</v>
      </c>
      <c r="K65" s="6">
        <f t="shared" si="17"/>
        <v>0</v>
      </c>
      <c r="L65" s="6">
        <f t="shared" si="17"/>
        <v>20140</v>
      </c>
      <c r="M65" s="6">
        <f t="shared" si="17"/>
        <v>0</v>
      </c>
      <c r="N65" s="43">
        <f t="shared" si="12"/>
        <v>383000</v>
      </c>
      <c r="O65" s="43">
        <f t="shared" si="10"/>
        <v>0</v>
      </c>
      <c r="P65" s="41">
        <f t="shared" si="11"/>
        <v>383000</v>
      </c>
      <c r="Q65" s="16"/>
    </row>
    <row r="66" spans="2:15" ht="12.75">
      <c r="B66" s="1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2:12" ht="12.75">
      <c r="B67" s="2"/>
      <c r="C67" s="2"/>
      <c r="D67" s="2"/>
      <c r="E67" s="2"/>
      <c r="F67" s="2"/>
      <c r="G67" s="2"/>
      <c r="H67" s="2"/>
      <c r="I67" s="2"/>
      <c r="J67" s="15"/>
      <c r="K67" s="2"/>
      <c r="L67" s="2"/>
    </row>
    <row r="68" spans="1:12" ht="30" customHeight="1">
      <c r="A68" s="37" t="s">
        <v>2</v>
      </c>
      <c r="B68" s="8">
        <f>B70-N65</f>
        <v>0</v>
      </c>
      <c r="C68" s="14"/>
      <c r="J68" s="2"/>
      <c r="L68" s="2"/>
    </row>
    <row r="69" spans="1:12" ht="12.75">
      <c r="A69" s="37"/>
      <c r="B69" s="2"/>
      <c r="C69" s="14"/>
      <c r="J69" s="2"/>
      <c r="L69" s="2"/>
    </row>
    <row r="70" spans="1:4" ht="12.75">
      <c r="A70" s="36" t="s">
        <v>32</v>
      </c>
      <c r="B70" s="8">
        <v>383000</v>
      </c>
      <c r="D70" s="2"/>
    </row>
    <row r="71" spans="1:12" ht="12.75">
      <c r="A71" s="44" t="s">
        <v>31</v>
      </c>
      <c r="B71" s="2">
        <v>383000</v>
      </c>
      <c r="C71" s="2"/>
      <c r="D71" s="2"/>
      <c r="L71" s="2"/>
    </row>
    <row r="74" ht="12.75">
      <c r="A74" s="84" t="s">
        <v>64</v>
      </c>
    </row>
    <row r="75" ht="12.75">
      <c r="A75" s="1"/>
    </row>
    <row r="76" spans="1:17" ht="39" customHeight="1">
      <c r="A76" s="42" t="s">
        <v>0</v>
      </c>
      <c r="B76" s="87" t="s">
        <v>59</v>
      </c>
      <c r="C76" s="87"/>
      <c r="D76" s="85" t="s">
        <v>36</v>
      </c>
      <c r="E76" s="92"/>
      <c r="F76" s="85" t="s">
        <v>60</v>
      </c>
      <c r="G76" s="86"/>
      <c r="H76" s="85" t="s">
        <v>61</v>
      </c>
      <c r="I76" s="86"/>
      <c r="J76" s="87" t="s">
        <v>62</v>
      </c>
      <c r="K76" s="88"/>
      <c r="L76" s="93" t="s">
        <v>41</v>
      </c>
      <c r="M76" s="94"/>
      <c r="N76" s="85" t="s">
        <v>1</v>
      </c>
      <c r="O76" s="95"/>
      <c r="P76" s="92"/>
      <c r="Q76" s="17"/>
    </row>
    <row r="77" spans="1:17" ht="18" customHeight="1">
      <c r="A77" s="18"/>
      <c r="B77" s="32" t="s">
        <v>7</v>
      </c>
      <c r="C77" s="32" t="s">
        <v>8</v>
      </c>
      <c r="D77" s="32" t="s">
        <v>7</v>
      </c>
      <c r="E77" s="32" t="s">
        <v>8</v>
      </c>
      <c r="F77" s="32" t="s">
        <v>7</v>
      </c>
      <c r="G77" s="32" t="s">
        <v>8</v>
      </c>
      <c r="H77" s="32" t="s">
        <v>7</v>
      </c>
      <c r="I77" s="32" t="s">
        <v>8</v>
      </c>
      <c r="J77" s="32" t="s">
        <v>7</v>
      </c>
      <c r="K77" s="32" t="s">
        <v>8</v>
      </c>
      <c r="L77" s="32" t="s">
        <v>7</v>
      </c>
      <c r="M77" s="32" t="s">
        <v>8</v>
      </c>
      <c r="N77" s="32" t="s">
        <v>7</v>
      </c>
      <c r="O77" s="32" t="s">
        <v>8</v>
      </c>
      <c r="P77" s="34" t="s">
        <v>9</v>
      </c>
      <c r="Q77" s="35" t="s">
        <v>10</v>
      </c>
    </row>
    <row r="78" spans="1:17" ht="12.75">
      <c r="A78" s="19" t="s">
        <v>18</v>
      </c>
      <c r="B78" s="10">
        <v>49580</v>
      </c>
      <c r="C78" s="9"/>
      <c r="D78" s="10">
        <v>63990</v>
      </c>
      <c r="E78" s="9"/>
      <c r="F78" s="10">
        <v>73680</v>
      </c>
      <c r="G78" s="9"/>
      <c r="H78" s="10">
        <v>99850</v>
      </c>
      <c r="I78" s="9"/>
      <c r="J78" s="9">
        <f>75760-12910</f>
        <v>62850</v>
      </c>
      <c r="K78" s="10"/>
      <c r="L78" s="61">
        <v>20140</v>
      </c>
      <c r="M78" s="17"/>
      <c r="N78" s="11">
        <f>B78+D78+F78+H78+J78+L78</f>
        <v>370090</v>
      </c>
      <c r="O78" s="7">
        <f aca="true" t="shared" si="18" ref="O78:O94">C78+E78+G78+I78+K78+M78</f>
        <v>0</v>
      </c>
      <c r="P78" s="12">
        <f aca="true" t="shared" si="19" ref="P78:P94">N78-O78</f>
        <v>370090</v>
      </c>
      <c r="Q78" s="20"/>
    </row>
    <row r="79" spans="1:17" ht="12.75">
      <c r="A79" s="19" t="s">
        <v>19</v>
      </c>
      <c r="B79" s="10"/>
      <c r="C79" s="10"/>
      <c r="D79" s="10"/>
      <c r="E79" s="10"/>
      <c r="F79" s="10"/>
      <c r="G79" s="10"/>
      <c r="H79" s="10"/>
      <c r="I79" s="10"/>
      <c r="J79" s="9"/>
      <c r="K79" s="10"/>
      <c r="L79" s="17"/>
      <c r="M79" s="17"/>
      <c r="N79" s="11">
        <f aca="true" t="shared" si="20" ref="N79:N94">B79+D79+F79+H79+J79+L79</f>
        <v>0</v>
      </c>
      <c r="O79" s="7">
        <f t="shared" si="18"/>
        <v>0</v>
      </c>
      <c r="P79" s="12">
        <f t="shared" si="19"/>
        <v>0</v>
      </c>
      <c r="Q79" s="21"/>
    </row>
    <row r="80" spans="1:17" ht="12.75">
      <c r="A80" s="19" t="s">
        <v>20</v>
      </c>
      <c r="B80" s="9"/>
      <c r="C80" s="10"/>
      <c r="D80" s="9"/>
      <c r="E80" s="10"/>
      <c r="F80" s="9"/>
      <c r="G80" s="10"/>
      <c r="H80" s="9"/>
      <c r="I80" s="10"/>
      <c r="J80" s="9"/>
      <c r="K80" s="10"/>
      <c r="L80" s="17"/>
      <c r="M80" s="17"/>
      <c r="N80" s="11">
        <f t="shared" si="20"/>
        <v>0</v>
      </c>
      <c r="O80" s="7">
        <f t="shared" si="18"/>
        <v>0</v>
      </c>
      <c r="P80" s="12">
        <f t="shared" si="19"/>
        <v>0</v>
      </c>
      <c r="Q80" s="20"/>
    </row>
    <row r="81" spans="1:17" ht="12.75">
      <c r="A81" s="22" t="s">
        <v>53</v>
      </c>
      <c r="B81" s="6">
        <f>B78+B79+B80</f>
        <v>49580</v>
      </c>
      <c r="C81" s="6">
        <f aca="true" t="shared" si="21" ref="C81:K81">C78+C79+C80</f>
        <v>0</v>
      </c>
      <c r="D81" s="6">
        <f t="shared" si="21"/>
        <v>63990</v>
      </c>
      <c r="E81" s="6">
        <f t="shared" si="21"/>
        <v>0</v>
      </c>
      <c r="F81" s="6">
        <f t="shared" si="21"/>
        <v>73680</v>
      </c>
      <c r="G81" s="6">
        <f t="shared" si="21"/>
        <v>0</v>
      </c>
      <c r="H81" s="6">
        <f t="shared" si="21"/>
        <v>99850</v>
      </c>
      <c r="I81" s="6">
        <f t="shared" si="21"/>
        <v>0</v>
      </c>
      <c r="J81" s="6">
        <f t="shared" si="21"/>
        <v>62850</v>
      </c>
      <c r="K81" s="6">
        <f t="shared" si="21"/>
        <v>0</v>
      </c>
      <c r="L81" s="6">
        <f>L78+L79+L80</f>
        <v>20140</v>
      </c>
      <c r="M81" s="6">
        <f>M78+M79+M80</f>
        <v>0</v>
      </c>
      <c r="N81" s="43">
        <f t="shared" si="20"/>
        <v>370090</v>
      </c>
      <c r="O81" s="43">
        <f t="shared" si="18"/>
        <v>0</v>
      </c>
      <c r="P81" s="41">
        <f t="shared" si="19"/>
        <v>370090</v>
      </c>
      <c r="Q81" s="16"/>
    </row>
    <row r="82" spans="1:17" ht="12.75">
      <c r="A82" s="19" t="s">
        <v>22</v>
      </c>
      <c r="B82" s="9"/>
      <c r="C82" s="9"/>
      <c r="D82" s="9"/>
      <c r="E82" s="9"/>
      <c r="F82" s="9"/>
      <c r="G82" s="9"/>
      <c r="H82" s="9"/>
      <c r="I82" s="9"/>
      <c r="J82" s="9"/>
      <c r="K82" s="10"/>
      <c r="L82" s="17"/>
      <c r="M82" s="17"/>
      <c r="N82" s="11">
        <f t="shared" si="20"/>
        <v>0</v>
      </c>
      <c r="O82" s="7">
        <f t="shared" si="18"/>
        <v>0</v>
      </c>
      <c r="P82" s="12">
        <f t="shared" si="19"/>
        <v>0</v>
      </c>
      <c r="Q82" s="20"/>
    </row>
    <row r="83" spans="1:17" ht="12.75">
      <c r="A83" s="19" t="s">
        <v>23</v>
      </c>
      <c r="B83" s="9"/>
      <c r="C83" s="10"/>
      <c r="D83" s="9"/>
      <c r="E83" s="10"/>
      <c r="F83" s="9"/>
      <c r="G83" s="10"/>
      <c r="H83" s="9"/>
      <c r="I83" s="10"/>
      <c r="J83" s="9"/>
      <c r="K83" s="10"/>
      <c r="L83" s="17"/>
      <c r="M83" s="17"/>
      <c r="N83" s="11">
        <f t="shared" si="20"/>
        <v>0</v>
      </c>
      <c r="O83" s="7">
        <f t="shared" si="18"/>
        <v>0</v>
      </c>
      <c r="P83" s="12">
        <f t="shared" si="19"/>
        <v>0</v>
      </c>
      <c r="Q83" s="20"/>
    </row>
    <row r="84" spans="1:17" ht="12.75">
      <c r="A84" s="19" t="s">
        <v>15</v>
      </c>
      <c r="B84" s="9"/>
      <c r="C84" s="10"/>
      <c r="D84" s="9"/>
      <c r="E84" s="10"/>
      <c r="F84" s="9"/>
      <c r="G84" s="10"/>
      <c r="H84" s="9"/>
      <c r="I84" s="10"/>
      <c r="J84" s="9"/>
      <c r="K84" s="10"/>
      <c r="L84" s="17"/>
      <c r="M84" s="17"/>
      <c r="N84" s="11">
        <f t="shared" si="20"/>
        <v>0</v>
      </c>
      <c r="O84" s="7">
        <f t="shared" si="18"/>
        <v>0</v>
      </c>
      <c r="P84" s="12">
        <f t="shared" si="19"/>
        <v>0</v>
      </c>
      <c r="Q84" s="20"/>
    </row>
    <row r="85" spans="1:17" ht="12.75">
      <c r="A85" s="22" t="s">
        <v>54</v>
      </c>
      <c r="B85" s="6">
        <f>B82+B83+B84</f>
        <v>0</v>
      </c>
      <c r="C85" s="6">
        <f aca="true" t="shared" si="22" ref="C85:M85">C82+C83+C84</f>
        <v>0</v>
      </c>
      <c r="D85" s="6">
        <f t="shared" si="22"/>
        <v>0</v>
      </c>
      <c r="E85" s="6">
        <f t="shared" si="22"/>
        <v>0</v>
      </c>
      <c r="F85" s="6">
        <f t="shared" si="22"/>
        <v>0</v>
      </c>
      <c r="G85" s="6">
        <f t="shared" si="22"/>
        <v>0</v>
      </c>
      <c r="H85" s="6">
        <f t="shared" si="22"/>
        <v>0</v>
      </c>
      <c r="I85" s="6">
        <f t="shared" si="22"/>
        <v>0</v>
      </c>
      <c r="J85" s="6">
        <f t="shared" si="22"/>
        <v>0</v>
      </c>
      <c r="K85" s="6">
        <f t="shared" si="22"/>
        <v>0</v>
      </c>
      <c r="L85" s="6">
        <f t="shared" si="22"/>
        <v>0</v>
      </c>
      <c r="M85" s="6">
        <f t="shared" si="22"/>
        <v>0</v>
      </c>
      <c r="N85" s="43">
        <f t="shared" si="20"/>
        <v>0</v>
      </c>
      <c r="O85" s="43">
        <f t="shared" si="18"/>
        <v>0</v>
      </c>
      <c r="P85" s="41">
        <f t="shared" si="19"/>
        <v>0</v>
      </c>
      <c r="Q85" s="16"/>
    </row>
    <row r="86" spans="1:17" ht="12.75">
      <c r="A86" s="19" t="s">
        <v>14</v>
      </c>
      <c r="B86" s="9"/>
      <c r="C86" s="10"/>
      <c r="D86" s="9"/>
      <c r="E86" s="10"/>
      <c r="F86" s="9"/>
      <c r="G86" s="10"/>
      <c r="H86" s="9"/>
      <c r="I86" s="10"/>
      <c r="J86" s="10"/>
      <c r="K86" s="10"/>
      <c r="L86" s="17"/>
      <c r="M86" s="17"/>
      <c r="N86" s="11">
        <f t="shared" si="20"/>
        <v>0</v>
      </c>
      <c r="O86" s="7">
        <f t="shared" si="18"/>
        <v>0</v>
      </c>
      <c r="P86" s="12">
        <f t="shared" si="19"/>
        <v>0</v>
      </c>
      <c r="Q86" s="20"/>
    </row>
    <row r="87" spans="1:17" ht="12.75">
      <c r="A87" s="19" t="s">
        <v>16</v>
      </c>
      <c r="B87" s="9"/>
      <c r="C87" s="9"/>
      <c r="D87" s="9"/>
      <c r="E87" s="9"/>
      <c r="F87" s="9"/>
      <c r="G87" s="9"/>
      <c r="H87" s="9"/>
      <c r="I87" s="9"/>
      <c r="J87" s="9"/>
      <c r="K87" s="10"/>
      <c r="L87" s="17"/>
      <c r="M87" s="17"/>
      <c r="N87" s="11">
        <f t="shared" si="20"/>
        <v>0</v>
      </c>
      <c r="O87" s="7">
        <f t="shared" si="18"/>
        <v>0</v>
      </c>
      <c r="P87" s="12">
        <f t="shared" si="19"/>
        <v>0</v>
      </c>
      <c r="Q87" s="20"/>
    </row>
    <row r="88" spans="1:17" ht="12.75">
      <c r="A88" s="19" t="s">
        <v>25</v>
      </c>
      <c r="B88" s="9"/>
      <c r="C88" s="10"/>
      <c r="D88" s="9"/>
      <c r="E88" s="10"/>
      <c r="F88" s="9"/>
      <c r="G88" s="10"/>
      <c r="H88" s="9"/>
      <c r="I88" s="10"/>
      <c r="J88" s="9"/>
      <c r="K88" s="10"/>
      <c r="L88" s="17"/>
      <c r="M88" s="17"/>
      <c r="N88" s="11">
        <f t="shared" si="20"/>
        <v>0</v>
      </c>
      <c r="O88" s="7">
        <f t="shared" si="18"/>
        <v>0</v>
      </c>
      <c r="P88" s="12">
        <f t="shared" si="19"/>
        <v>0</v>
      </c>
      <c r="Q88" s="20"/>
    </row>
    <row r="89" spans="1:17" ht="12.75">
      <c r="A89" s="22" t="s">
        <v>55</v>
      </c>
      <c r="B89" s="6">
        <f>B86+B87+B88</f>
        <v>0</v>
      </c>
      <c r="C89" s="6">
        <f aca="true" t="shared" si="23" ref="C89:M89">C86+C87+C88</f>
        <v>0</v>
      </c>
      <c r="D89" s="6">
        <f t="shared" si="23"/>
        <v>0</v>
      </c>
      <c r="E89" s="6">
        <f t="shared" si="23"/>
        <v>0</v>
      </c>
      <c r="F89" s="6">
        <f t="shared" si="23"/>
        <v>0</v>
      </c>
      <c r="G89" s="6">
        <f t="shared" si="23"/>
        <v>0</v>
      </c>
      <c r="H89" s="6">
        <f t="shared" si="23"/>
        <v>0</v>
      </c>
      <c r="I89" s="6">
        <f t="shared" si="23"/>
        <v>0</v>
      </c>
      <c r="J89" s="6">
        <f t="shared" si="23"/>
        <v>0</v>
      </c>
      <c r="K89" s="6">
        <f t="shared" si="23"/>
        <v>0</v>
      </c>
      <c r="L89" s="6">
        <f t="shared" si="23"/>
        <v>0</v>
      </c>
      <c r="M89" s="6">
        <f t="shared" si="23"/>
        <v>0</v>
      </c>
      <c r="N89" s="43">
        <f t="shared" si="20"/>
        <v>0</v>
      </c>
      <c r="O89" s="43">
        <f t="shared" si="18"/>
        <v>0</v>
      </c>
      <c r="P89" s="41">
        <f t="shared" si="19"/>
        <v>0</v>
      </c>
      <c r="Q89" s="16"/>
    </row>
    <row r="90" spans="1:17" ht="12.75">
      <c r="A90" s="19" t="s">
        <v>27</v>
      </c>
      <c r="B90" s="10"/>
      <c r="C90" s="10"/>
      <c r="D90" s="10"/>
      <c r="E90" s="10"/>
      <c r="F90" s="10"/>
      <c r="G90" s="10"/>
      <c r="H90" s="10"/>
      <c r="I90" s="10"/>
      <c r="J90" s="9"/>
      <c r="K90" s="10"/>
      <c r="L90" s="17"/>
      <c r="M90" s="17"/>
      <c r="N90" s="11">
        <f t="shared" si="20"/>
        <v>0</v>
      </c>
      <c r="O90" s="7">
        <f t="shared" si="18"/>
        <v>0</v>
      </c>
      <c r="P90" s="12">
        <f t="shared" si="19"/>
        <v>0</v>
      </c>
      <c r="Q90" s="20"/>
    </row>
    <row r="91" spans="1:17" ht="12.75">
      <c r="A91" s="19" t="s">
        <v>28</v>
      </c>
      <c r="B91" s="10"/>
      <c r="C91" s="10"/>
      <c r="D91" s="10"/>
      <c r="E91" s="10"/>
      <c r="F91" s="10"/>
      <c r="G91" s="10"/>
      <c r="H91" s="10"/>
      <c r="I91" s="10"/>
      <c r="J91" s="9"/>
      <c r="K91" s="10"/>
      <c r="L91" s="17"/>
      <c r="M91" s="17"/>
      <c r="N91" s="11">
        <f t="shared" si="20"/>
        <v>0</v>
      </c>
      <c r="O91" s="7">
        <f t="shared" si="18"/>
        <v>0</v>
      </c>
      <c r="P91" s="12">
        <f t="shared" si="19"/>
        <v>0</v>
      </c>
      <c r="Q91" s="20"/>
    </row>
    <row r="92" spans="1:17" ht="12.75">
      <c r="A92" s="19" t="s">
        <v>17</v>
      </c>
      <c r="B92" s="38"/>
      <c r="C92" s="10"/>
      <c r="D92" s="38"/>
      <c r="E92" s="10"/>
      <c r="F92" s="38"/>
      <c r="G92" s="10"/>
      <c r="H92" s="38"/>
      <c r="I92" s="10"/>
      <c r="J92" s="9"/>
      <c r="K92" s="10"/>
      <c r="L92" s="17"/>
      <c r="M92" s="17"/>
      <c r="N92" s="11">
        <f t="shared" si="20"/>
        <v>0</v>
      </c>
      <c r="O92" s="7">
        <f t="shared" si="18"/>
        <v>0</v>
      </c>
      <c r="P92" s="12">
        <f t="shared" si="19"/>
        <v>0</v>
      </c>
      <c r="Q92" s="20"/>
    </row>
    <row r="93" spans="1:17" ht="12.75">
      <c r="A93" s="22" t="s">
        <v>56</v>
      </c>
      <c r="B93" s="6">
        <f>B90+B91+B92</f>
        <v>0</v>
      </c>
      <c r="C93" s="6">
        <f aca="true" t="shared" si="24" ref="C93:M93">C90+C91+C92</f>
        <v>0</v>
      </c>
      <c r="D93" s="6">
        <f t="shared" si="24"/>
        <v>0</v>
      </c>
      <c r="E93" s="6">
        <f t="shared" si="24"/>
        <v>0</v>
      </c>
      <c r="F93" s="6">
        <f t="shared" si="24"/>
        <v>0</v>
      </c>
      <c r="G93" s="6">
        <f t="shared" si="24"/>
        <v>0</v>
      </c>
      <c r="H93" s="6">
        <f t="shared" si="24"/>
        <v>0</v>
      </c>
      <c r="I93" s="6">
        <f t="shared" si="24"/>
        <v>0</v>
      </c>
      <c r="J93" s="6">
        <f t="shared" si="24"/>
        <v>0</v>
      </c>
      <c r="K93" s="6">
        <f t="shared" si="24"/>
        <v>0</v>
      </c>
      <c r="L93" s="6">
        <f t="shared" si="24"/>
        <v>0</v>
      </c>
      <c r="M93" s="6">
        <f t="shared" si="24"/>
        <v>0</v>
      </c>
      <c r="N93" s="43">
        <f t="shared" si="20"/>
        <v>0</v>
      </c>
      <c r="O93" s="43">
        <f t="shared" si="18"/>
        <v>0</v>
      </c>
      <c r="P93" s="41">
        <f t="shared" si="19"/>
        <v>0</v>
      </c>
      <c r="Q93" s="16"/>
    </row>
    <row r="94" spans="1:17" ht="12.75">
      <c r="A94" s="22" t="s">
        <v>57</v>
      </c>
      <c r="B94" s="6">
        <f aca="true" t="shared" si="25" ref="B94:M94">B81+B85+B89+B93</f>
        <v>49580</v>
      </c>
      <c r="C94" s="6">
        <f t="shared" si="25"/>
        <v>0</v>
      </c>
      <c r="D94" s="6">
        <f t="shared" si="25"/>
        <v>63990</v>
      </c>
      <c r="E94" s="6">
        <f t="shared" si="25"/>
        <v>0</v>
      </c>
      <c r="F94" s="6">
        <f t="shared" si="25"/>
        <v>73680</v>
      </c>
      <c r="G94" s="6">
        <f t="shared" si="25"/>
        <v>0</v>
      </c>
      <c r="H94" s="6">
        <f t="shared" si="25"/>
        <v>99850</v>
      </c>
      <c r="I94" s="6">
        <f t="shared" si="25"/>
        <v>0</v>
      </c>
      <c r="J94" s="6">
        <f t="shared" si="25"/>
        <v>62850</v>
      </c>
      <c r="K94" s="6">
        <f t="shared" si="25"/>
        <v>0</v>
      </c>
      <c r="L94" s="6">
        <f t="shared" si="25"/>
        <v>20140</v>
      </c>
      <c r="M94" s="6">
        <f t="shared" si="25"/>
        <v>0</v>
      </c>
      <c r="N94" s="43">
        <f t="shared" si="20"/>
        <v>370090</v>
      </c>
      <c r="O94" s="43">
        <f t="shared" si="18"/>
        <v>0</v>
      </c>
      <c r="P94" s="41">
        <f t="shared" si="19"/>
        <v>370090</v>
      </c>
      <c r="Q94" s="16"/>
    </row>
    <row r="95" spans="2:15" ht="12.75">
      <c r="B95" s="13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2:12" ht="12.75">
      <c r="B96" s="2"/>
      <c r="C96" s="2"/>
      <c r="D96" s="2"/>
      <c r="E96" s="2"/>
      <c r="F96" s="2"/>
      <c r="G96" s="2"/>
      <c r="H96" s="2"/>
      <c r="I96" s="2"/>
      <c r="J96" s="15">
        <v>-12910</v>
      </c>
      <c r="K96" s="2"/>
      <c r="L96" s="2"/>
    </row>
    <row r="97" spans="1:12" ht="30" customHeight="1">
      <c r="A97" s="37" t="s">
        <v>2</v>
      </c>
      <c r="B97" s="8">
        <f>B99-N94</f>
        <v>12910</v>
      </c>
      <c r="C97" s="14"/>
      <c r="J97" s="2"/>
      <c r="L97" s="2"/>
    </row>
    <row r="98" spans="1:12" ht="12.75">
      <c r="A98" s="37"/>
      <c r="B98" s="2"/>
      <c r="C98" s="14"/>
      <c r="J98" s="2"/>
      <c r="L98" s="2"/>
    </row>
    <row r="99" spans="1:4" ht="12.75">
      <c r="A99" s="36" t="s">
        <v>32</v>
      </c>
      <c r="B99" s="8">
        <v>383000</v>
      </c>
      <c r="D99" s="2"/>
    </row>
    <row r="100" spans="1:12" ht="12.75">
      <c r="A100" s="44" t="s">
        <v>31</v>
      </c>
      <c r="B100" s="2">
        <v>383000</v>
      </c>
      <c r="C100" s="2"/>
      <c r="D100" s="2"/>
      <c r="L100" s="2"/>
    </row>
  </sheetData>
  <sheetProtection/>
  <mergeCells count="22">
    <mergeCell ref="N76:P76"/>
    <mergeCell ref="B76:C76"/>
    <mergeCell ref="D76:E76"/>
    <mergeCell ref="F76:G76"/>
    <mergeCell ref="H76:I76"/>
    <mergeCell ref="J76:K76"/>
    <mergeCell ref="L76:M76"/>
    <mergeCell ref="N47:P47"/>
    <mergeCell ref="L47:M47"/>
    <mergeCell ref="J47:K47"/>
    <mergeCell ref="B47:C47"/>
    <mergeCell ref="D47:E47"/>
    <mergeCell ref="F47:G47"/>
    <mergeCell ref="H47:I47"/>
    <mergeCell ref="N3:O3"/>
    <mergeCell ref="P3:R3"/>
    <mergeCell ref="B3:C3"/>
    <mergeCell ref="D3:E3"/>
    <mergeCell ref="F3:G3"/>
    <mergeCell ref="H3:I3"/>
    <mergeCell ref="J3:K3"/>
    <mergeCell ref="L3:M3"/>
  </mergeCells>
  <printOptions/>
  <pageMargins left="0" right="0" top="0" bottom="0.15748031496062992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J23"/>
  <sheetViews>
    <sheetView zoomScalePageLayoutView="0" workbookViewId="0" topLeftCell="A1">
      <selection activeCell="E13" sqref="E13"/>
    </sheetView>
  </sheetViews>
  <sheetFormatPr defaultColWidth="9.140625" defaultRowHeight="12.75"/>
  <cols>
    <col min="2" max="2" width="15.7109375" style="0" customWidth="1"/>
    <col min="3" max="3" width="15.28125" style="0" customWidth="1"/>
    <col min="4" max="4" width="22.57421875" style="0" customWidth="1"/>
    <col min="5" max="5" width="13.8515625" style="0" customWidth="1"/>
    <col min="6" max="6" width="13.00390625" style="0" customWidth="1"/>
    <col min="7" max="7" width="15.7109375" style="0" customWidth="1"/>
    <col min="8" max="8" width="14.421875" style="0" customWidth="1"/>
    <col min="9" max="9" width="14.140625" style="0" customWidth="1"/>
  </cols>
  <sheetData>
    <row r="6" spans="2:7" ht="12.75">
      <c r="B6" s="46"/>
      <c r="C6" s="46"/>
      <c r="D6" s="46"/>
      <c r="E6" s="46"/>
      <c r="F6" s="46"/>
      <c r="G6" s="46"/>
    </row>
    <row r="7" spans="2:7" ht="12.75">
      <c r="B7" s="46"/>
      <c r="C7" s="46"/>
      <c r="D7" s="46"/>
      <c r="E7" s="46"/>
      <c r="F7" s="46"/>
      <c r="G7" s="46"/>
    </row>
    <row r="8" spans="2:7" ht="12.75">
      <c r="B8" s="46"/>
      <c r="C8" s="46"/>
      <c r="D8" s="46"/>
      <c r="E8" s="46"/>
      <c r="F8" s="46"/>
      <c r="G8" s="46"/>
    </row>
    <row r="9" spans="2:10" ht="12.75">
      <c r="B9" s="46"/>
      <c r="C9" s="46"/>
      <c r="D9" s="46"/>
      <c r="E9" s="46"/>
      <c r="F9" s="46"/>
      <c r="G9" s="46"/>
      <c r="H9" s="46"/>
      <c r="I9" s="46"/>
      <c r="J9" s="46"/>
    </row>
    <row r="10" spans="2:10" ht="18.75">
      <c r="B10" s="47"/>
      <c r="C10" s="47"/>
      <c r="D10" s="47"/>
      <c r="E10" s="46"/>
      <c r="F10" s="46"/>
      <c r="G10" s="46"/>
      <c r="H10" s="46"/>
      <c r="I10" s="46"/>
      <c r="J10" s="46"/>
    </row>
    <row r="11" spans="2:10" ht="18.75">
      <c r="B11" s="47"/>
      <c r="C11" s="53"/>
      <c r="D11" s="53"/>
      <c r="E11" s="53"/>
      <c r="F11" s="46"/>
      <c r="G11" s="53"/>
      <c r="H11" s="53"/>
      <c r="I11" s="53"/>
      <c r="J11" s="46"/>
    </row>
    <row r="12" spans="2:10" ht="18.75">
      <c r="B12" s="47"/>
      <c r="C12" s="53"/>
      <c r="D12" s="53"/>
      <c r="E12" s="53"/>
      <c r="F12" s="46"/>
      <c r="G12" s="53"/>
      <c r="H12" s="53"/>
      <c r="I12" s="53"/>
      <c r="J12" s="46"/>
    </row>
    <row r="13" spans="2:10" ht="18.75">
      <c r="B13" s="47"/>
      <c r="C13" s="53"/>
      <c r="D13" s="53"/>
      <c r="E13" s="53"/>
      <c r="F13" s="46"/>
      <c r="G13" s="53"/>
      <c r="H13" s="53"/>
      <c r="I13" s="53"/>
      <c r="J13" s="46"/>
    </row>
    <row r="14" spans="2:10" ht="18.75">
      <c r="B14" s="46"/>
      <c r="C14" s="53"/>
      <c r="D14" s="53"/>
      <c r="E14" s="53"/>
      <c r="F14" s="47"/>
      <c r="G14" s="53"/>
      <c r="H14" s="53"/>
      <c r="I14" s="53"/>
      <c r="J14" s="46"/>
    </row>
    <row r="15" spans="2:10" ht="18.75">
      <c r="B15" s="46"/>
      <c r="C15" s="46"/>
      <c r="D15" s="46"/>
      <c r="E15" s="47"/>
      <c r="F15" s="47"/>
      <c r="G15" s="47"/>
      <c r="H15" s="46"/>
      <c r="I15" s="46"/>
      <c r="J15" s="46"/>
    </row>
    <row r="16" spans="2:10" ht="18.75">
      <c r="B16" s="46"/>
      <c r="C16" s="46"/>
      <c r="D16" s="46"/>
      <c r="E16" s="47"/>
      <c r="F16" s="47"/>
      <c r="G16" s="47"/>
      <c r="H16" s="46"/>
      <c r="I16" s="46"/>
      <c r="J16" s="46"/>
    </row>
    <row r="17" spans="4:10" ht="18.75">
      <c r="D17" s="46"/>
      <c r="E17" s="47"/>
      <c r="F17" s="47"/>
      <c r="G17" s="47"/>
      <c r="H17" s="46"/>
      <c r="I17" s="46"/>
      <c r="J17" s="46"/>
    </row>
    <row r="18" spans="4:10" ht="12.75">
      <c r="D18" s="46"/>
      <c r="E18" s="46"/>
      <c r="F18" s="46"/>
      <c r="G18" s="46"/>
      <c r="H18" s="46"/>
      <c r="I18" s="46"/>
      <c r="J18" s="46"/>
    </row>
    <row r="19" spans="4:10" ht="12.75">
      <c r="D19" s="46"/>
      <c r="E19" s="46"/>
      <c r="F19" s="46"/>
      <c r="G19" s="46"/>
      <c r="H19" s="46"/>
      <c r="I19" s="46"/>
      <c r="J19" s="46"/>
    </row>
    <row r="20" spans="4:10" ht="12.75">
      <c r="D20" s="46"/>
      <c r="E20" s="46"/>
      <c r="F20" s="46"/>
      <c r="G20" s="46"/>
      <c r="H20" s="46"/>
      <c r="I20" s="46"/>
      <c r="J20" s="46"/>
    </row>
    <row r="21" spans="4:10" ht="12.75">
      <c r="D21" s="46"/>
      <c r="E21" s="46"/>
      <c r="F21" s="46"/>
      <c r="G21" s="46"/>
      <c r="H21" s="46"/>
      <c r="I21" s="46"/>
      <c r="J21" s="46"/>
    </row>
    <row r="22" spans="4:10" ht="12.75">
      <c r="D22" s="46"/>
      <c r="E22" s="46"/>
      <c r="F22" s="46"/>
      <c r="G22" s="46"/>
      <c r="H22" s="46"/>
      <c r="I22" s="46"/>
      <c r="J22" s="46"/>
    </row>
    <row r="23" spans="4:10" ht="12.75">
      <c r="D23" s="46"/>
      <c r="E23" s="46"/>
      <c r="F23" s="46"/>
      <c r="G23" s="46"/>
      <c r="H23" s="46"/>
      <c r="I23" s="46"/>
      <c r="J23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Gica</dc:creator>
  <cp:keywords/>
  <dc:description/>
  <cp:lastModifiedBy>ci@casacl.ro</cp:lastModifiedBy>
  <cp:lastPrinted>2024-01-05T11:56:51Z</cp:lastPrinted>
  <dcterms:created xsi:type="dcterms:W3CDTF">1996-10-14T23:33:28Z</dcterms:created>
  <dcterms:modified xsi:type="dcterms:W3CDTF">2024-01-05T11:58:00Z</dcterms:modified>
  <cp:category/>
  <cp:version/>
  <cp:contentType/>
  <cp:contentStatus/>
</cp:coreProperties>
</file>